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92" activeTab="0"/>
  </bookViews>
  <sheets>
    <sheet name="Table of Contents" sheetId="1" r:id="rId1"/>
    <sheet name="1 - Introduction" sheetId="2" r:id="rId2"/>
    <sheet name="2 - Excel Hints" sheetId="3" r:id="rId3"/>
    <sheet name="3 - Assumptions" sheetId="4" r:id="rId4"/>
    <sheet name="4 - How much to save" sheetId="5" r:id="rId5"/>
    <sheet name="Sheet6" sheetId="6" state="hidden" r:id="rId6"/>
    <sheet name="Sheet1" sheetId="7" r:id="rId7"/>
  </sheets>
  <definedNames>
    <definedName name="annualsalary">'4 - How much to save'!$L$27</definedName>
    <definedName name="currentage">'4 - How much to save'!$L$39</definedName>
    <definedName name="currentyr">'Sheet6'!$DI$412</definedName>
    <definedName name="employercontribution">'4 - How much to save'!$L$74</definedName>
    <definedName name="expirationwarning">'Sheet6'!$DI$414</definedName>
    <definedName name="inflation">'4 - How much to save'!$L$69</definedName>
    <definedName name="maritalstatus">'4 - How much to save'!$L$24</definedName>
    <definedName name="pension">'4 - How much to save'!$L$56</definedName>
    <definedName name="pensioncola">'4 - How much to save'!$L$60</definedName>
    <definedName name="postretyield">'4 - How much to save'!$L$66</definedName>
    <definedName name="preretyield">'4 - How much to save'!$L$63</definedName>
    <definedName name="_xlnm.Print_Area" localSheetId="1">'1 - Introduction'!$A$1:$D$64</definedName>
    <definedName name="_xlnm.Print_Area" localSheetId="5">'Sheet6'!$DA$416:$DJ$473</definedName>
    <definedName name="recyrsdurret">'Sheet6'!$DH$494</definedName>
    <definedName name="requiredeesavingsrate">'Sheet6'!$DH$615</definedName>
    <definedName name="retage">'4 - How much to save'!$L$42</definedName>
    <definedName name="retsavings">'4 - How much to save'!$L$50</definedName>
    <definedName name="socsecactualben">'Sheet6'!$DH$584</definedName>
    <definedName name="socsecbenage">'Sheet6'!$DH$546</definedName>
    <definedName name="socsecfinalben">'Sheet6'!$DH$582</definedName>
    <definedName name="spouseannualsalary">'4 - How much to save'!$L$30</definedName>
    <definedName name="SSBENYOU">'Sheet6'!$DH$573</definedName>
    <definedName name="SSERALRAFACTOR">'Sheet6'!$DJ$580</definedName>
    <definedName name="sserdf">'Sheet6'!$DI$550:$DJ$555</definedName>
    <definedName name="SSINFLFACTOR">'Sheet6'!$DH$581</definedName>
    <definedName name="SSNRA">'Sheet6'!$DH$539</definedName>
    <definedName name="SSTOTBEN">'Sheet6'!$DH$578</definedName>
    <definedName name="targetedreplacementratio">'4 - How much to save'!$L$36</definedName>
    <definedName name="title">'Table of Contents'!$A$1</definedName>
    <definedName name="title1">'Table of Contents'!$A$1</definedName>
    <definedName name="Title2">'Table of Contents'!$A$2</definedName>
    <definedName name="yrsduringret">'4 - How much to save'!$L$46</definedName>
    <definedName name="yrsuntilret">'Sheet6'!$DH$492</definedName>
    <definedName name="Z_1AE55782_EB5D_11D3_B966_A90128F5D05F_.wvu.PrintArea" localSheetId="5" hidden="1">'Sheet6'!$DA$416:$DJ$473</definedName>
    <definedName name="Z_68285DA0_D5C0_11D4_96C7_D000BF46A430_.wvu.PrintArea" localSheetId="5" hidden="1">'Sheet6'!$DA$416:$DJ$473</definedName>
    <definedName name="Z_85A60F22_6208_11D4_B969_81D2DF6B435E_.wvu.PrintArea" localSheetId="5" hidden="1">'Sheet6'!$DA$416:$DJ$473</definedName>
  </definedNames>
  <calcPr fullCalcOnLoad="1"/>
</workbook>
</file>

<file path=xl/sharedStrings.xml><?xml version="1.0" encoding="utf-8"?>
<sst xmlns="http://schemas.openxmlformats.org/spreadsheetml/2006/main" count="476" uniqueCount="324">
  <si>
    <t>Retirement  Management  Services, LLC</t>
  </si>
  <si>
    <t>Retirement Management Services, LLC</t>
  </si>
  <si>
    <t>(502) 429-0767</t>
  </si>
  <si>
    <t>Time required to read</t>
  </si>
  <si>
    <t>Table of Contents</t>
  </si>
  <si>
    <t>or use this Part:</t>
  </si>
  <si>
    <t>Part</t>
  </si>
  <si>
    <t>(Tab)</t>
  </si>
  <si>
    <t>Title</t>
  </si>
  <si>
    <t>Brief Description</t>
  </si>
  <si>
    <t>Introduction</t>
  </si>
  <si>
    <t>Please read this part first.</t>
  </si>
  <si>
    <t>2 minutes</t>
  </si>
  <si>
    <t>Excel Hints</t>
  </si>
  <si>
    <t>For the user not familiar with all of the Excel spreadsheet shortcuts.</t>
  </si>
  <si>
    <t>Assumptions</t>
  </si>
  <si>
    <t>The basic assumptions made in order to calculate the user's recommended level of savings.</t>
  </si>
  <si>
    <t>4 minutes</t>
  </si>
  <si>
    <t>How Much to Save</t>
  </si>
  <si>
    <t>To determine what percent of pay you should be saving for retirement.  Only basic assumptions are required.</t>
  </si>
  <si>
    <t>5 minutes</t>
  </si>
  <si>
    <t>END  OF  PAGE</t>
  </si>
  <si>
    <t>Part  1  --  Introduction</t>
  </si>
  <si>
    <t>Paragraph</t>
  </si>
  <si>
    <t>Please read all of Parts 1 through 3 before using the retirement calculator in Part 4.</t>
  </si>
  <si>
    <t>This Excel Spreadsheet was designed by the professionals of Retirement Management Services, LLC to help you determine what percentage of pay you should save each year in order to meet your retirement objectives.</t>
  </si>
  <si>
    <t>It is generally expected that you will invest more conservatively after you retire.  Consequently, you will probably want to assume your post-retirement rate of return is less than your pre-retirement rate of return.</t>
  </si>
  <si>
    <t>This analysis should be updated every year, since many factors might change in ways other than what you have assumed.  See your employer in order to obtain an updated version of this spreadsheet next year.</t>
  </si>
  <si>
    <t>This spreadsheet is only intended to give you a very rough idea of the annual savings required to meet retirement goals.  It is designed with a number of general underlying assumptions which may not be appropriate for everyone.</t>
  </si>
  <si>
    <r>
      <t xml:space="preserve">Consequently, the results should only be treated as </t>
    </r>
    <r>
      <rPr>
        <b/>
        <sz val="10"/>
        <rFont val="Arial"/>
        <family val="0"/>
      </rPr>
      <t>approximate</t>
    </r>
    <r>
      <rPr>
        <sz val="10"/>
        <rFont val="Arial"/>
        <family val="0"/>
      </rPr>
      <t xml:space="preserve"> guidelines.  This spreadsheet is not to be considered investment advice, recommendations, counseling, or encouragement to use any specific retirement program or type</t>
    </r>
  </si>
  <si>
    <t xml:space="preserve">of investment.  For legal, investment, or estate planning advice you should seek the help of an experienced professional. </t>
  </si>
  <si>
    <t xml:space="preserve">It is recommended that the user "play" with the assumptions in order to see the impact that variations can make on the results.  For example, once all the </t>
  </si>
  <si>
    <t>assumptions have been entered, see the impact of varying the following:</t>
  </si>
  <si>
    <t>*   years during retirement</t>
  </si>
  <si>
    <t>*   retirement age</t>
  </si>
  <si>
    <t>*   pre-retirement yield</t>
  </si>
  <si>
    <t>*   post-retirement yield</t>
  </si>
  <si>
    <t>*   inflation</t>
  </si>
  <si>
    <t>*   the "replacement ratio"  -- the portion of pre-retirement income assumed to be          needed in retirement</t>
  </si>
  <si>
    <r>
      <t xml:space="preserve">When you are relatively </t>
    </r>
    <r>
      <rPr>
        <u val="single"/>
        <sz val="10"/>
        <rFont val="Arial"/>
        <family val="2"/>
      </rPr>
      <t>close</t>
    </r>
    <r>
      <rPr>
        <sz val="10"/>
        <rFont val="Arial"/>
        <family val="0"/>
      </rPr>
      <t xml:space="preserve"> to retirement, the results can vary dramatically from one year to the next.  The reason is "leveraging."  In other words, a minor change in your overall funding needs can be a large percent of your remaining salary between  </t>
    </r>
  </si>
  <si>
    <t>your current age and your assumed retirement age.</t>
  </si>
  <si>
    <t xml:space="preserve">This same leveraging might also occur with relatively minor changes in assumptions when you are several years from retirement. </t>
  </si>
  <si>
    <t>If the savings results are beyond your means, then you should usually</t>
  </si>
  <si>
    <t>a)  see if you should assume a later retirement age; or</t>
  </si>
  <si>
    <t>b)  consider the possibility of a lower post-retirement income -- i.e., a lower "replacement ratio" in line (4) of Part 4; or</t>
  </si>
  <si>
    <t>b)  see if a higher (but attainable) investment yield should be assumed, either before or after retirement.</t>
  </si>
  <si>
    <t>In Part 4 it is best to enter your own data in the order in which it is requested.</t>
  </si>
  <si>
    <t xml:space="preserve">After accounting for inflation, some people are quite surprised at just how much they should be saving for retirement.  Consequently, in Part 4 we also give you the </t>
  </si>
  <si>
    <t>option to print all the projections to see just how the numbers increase year by year.  The printout also shows the Social Security benefit in today's dollar, and how it is adjusted for early or late retirement, as well as for inflation.</t>
  </si>
  <si>
    <t>Part 2 -- Excel Hints</t>
  </si>
  <si>
    <t>For users not familiar with all Excel spreadsheet shortcuts, the following may be of some help while using this workbook.</t>
  </si>
  <si>
    <r>
      <t xml:space="preserve">To go to the top left hand corner of a page, use </t>
    </r>
    <r>
      <rPr>
        <b/>
        <sz val="10"/>
        <rFont val="Arial"/>
        <family val="0"/>
      </rPr>
      <t>Ctrl+Home</t>
    </r>
    <r>
      <rPr>
        <sz val="10"/>
        <rFont val="Arial"/>
        <family val="2"/>
      </rPr>
      <t>.</t>
    </r>
  </si>
  <si>
    <r>
      <t xml:space="preserve">You can "scroll" up and down a page by using either the </t>
    </r>
    <r>
      <rPr>
        <b/>
        <sz val="10"/>
        <rFont val="Arial"/>
        <family val="0"/>
      </rPr>
      <t xml:space="preserve">PgUp </t>
    </r>
    <r>
      <rPr>
        <sz val="10"/>
        <rFont val="Arial"/>
        <family val="2"/>
      </rPr>
      <t xml:space="preserve">or </t>
    </r>
    <r>
      <rPr>
        <b/>
        <sz val="10"/>
        <rFont val="Arial"/>
        <family val="0"/>
      </rPr>
      <t>PgDn</t>
    </r>
    <r>
      <rPr>
        <sz val="10"/>
        <rFont val="Arial"/>
        <family val="2"/>
      </rPr>
      <t xml:space="preserve"> keys, or the up arrow or down arrow keys.</t>
    </r>
  </si>
  <si>
    <r>
      <t xml:space="preserve">Each Part of this workbook is a separate worksheet.  You can jump from one worksheet to the next by using the </t>
    </r>
    <r>
      <rPr>
        <b/>
        <sz val="10"/>
        <rFont val="Arial"/>
        <family val="0"/>
      </rPr>
      <t>Ctrl+PgUp</t>
    </r>
    <r>
      <rPr>
        <sz val="10"/>
        <rFont val="Arial"/>
        <family val="0"/>
      </rPr>
      <t xml:space="preserve"> or </t>
    </r>
    <r>
      <rPr>
        <b/>
        <sz val="10"/>
        <rFont val="Arial"/>
        <family val="0"/>
      </rPr>
      <t xml:space="preserve">Cntl+PgDn </t>
    </r>
    <r>
      <rPr>
        <sz val="10"/>
        <rFont val="Arial"/>
        <family val="2"/>
      </rPr>
      <t>buttons.</t>
    </r>
  </si>
  <si>
    <t xml:space="preserve">In Part 4, where you determine how much to save for retirement, the user may want to </t>
  </si>
  <si>
    <t>scroll up or down until you can see rows 50 to 80, all at once;</t>
  </si>
  <si>
    <t>then position the cursor in cell A76;</t>
  </si>
  <si>
    <r>
      <t xml:space="preserve">then enter </t>
    </r>
    <r>
      <rPr>
        <b/>
        <sz val="10"/>
        <rFont val="Arial"/>
        <family val="0"/>
      </rPr>
      <t xml:space="preserve">Alt+W; </t>
    </r>
    <r>
      <rPr>
        <sz val="10"/>
        <rFont val="Arial"/>
        <family val="2"/>
      </rPr>
      <t xml:space="preserve">and then enter </t>
    </r>
    <r>
      <rPr>
        <b/>
        <sz val="10"/>
        <rFont val="Arial"/>
        <family val="0"/>
      </rPr>
      <t>S.</t>
    </r>
  </si>
  <si>
    <r>
      <t xml:space="preserve">This will split the screen so that you can scroll and enter assumptions </t>
    </r>
    <r>
      <rPr>
        <u val="single"/>
        <sz val="10"/>
        <rFont val="Arial"/>
        <family val="2"/>
      </rPr>
      <t>above</t>
    </r>
    <r>
      <rPr>
        <sz val="10"/>
        <rFont val="Arial"/>
        <family val="0"/>
      </rPr>
      <t xml:space="preserve"> the split,</t>
    </r>
  </si>
  <si>
    <r>
      <t xml:space="preserve">while watching the results vary </t>
    </r>
    <r>
      <rPr>
        <u val="single"/>
        <sz val="10"/>
        <rFont val="Arial"/>
        <family val="2"/>
      </rPr>
      <t>below</t>
    </r>
    <r>
      <rPr>
        <sz val="10"/>
        <rFont val="Arial"/>
        <family val="0"/>
      </rPr>
      <t xml:space="preserve"> the split.</t>
    </r>
  </si>
  <si>
    <r>
      <t xml:space="preserve">Put the cursor on any cell </t>
    </r>
    <r>
      <rPr>
        <u val="single"/>
        <sz val="10"/>
        <rFont val="Arial"/>
        <family val="2"/>
      </rPr>
      <t>above</t>
    </r>
    <r>
      <rPr>
        <sz val="10"/>
        <rFont val="Arial"/>
        <family val="0"/>
      </rPr>
      <t xml:space="preserve"> the split, press </t>
    </r>
    <r>
      <rPr>
        <b/>
        <sz val="10"/>
        <rFont val="Arial"/>
        <family val="0"/>
      </rPr>
      <t xml:space="preserve">Enter, </t>
    </r>
    <r>
      <rPr>
        <sz val="10"/>
        <rFont val="Arial"/>
        <family val="2"/>
      </rPr>
      <t>and then enter your own data.</t>
    </r>
  </si>
  <si>
    <r>
      <t xml:space="preserve">To remove the split, enter </t>
    </r>
    <r>
      <rPr>
        <b/>
        <sz val="10"/>
        <rFont val="Arial"/>
        <family val="0"/>
      </rPr>
      <t>Alt+W</t>
    </r>
    <r>
      <rPr>
        <sz val="10"/>
        <rFont val="Arial"/>
        <family val="2"/>
      </rPr>
      <t xml:space="preserve"> again; and then enter </t>
    </r>
    <r>
      <rPr>
        <b/>
        <sz val="10"/>
        <rFont val="Arial"/>
        <family val="0"/>
      </rPr>
      <t>S</t>
    </r>
    <r>
      <rPr>
        <sz val="10"/>
        <rFont val="Arial"/>
        <family val="2"/>
      </rPr>
      <t>.</t>
    </r>
  </si>
  <si>
    <t xml:space="preserve">You cannot change any of the cell values or formulas in these spreadsheets, except for the ones intended for your own data input in Part 5.  In other words, </t>
  </si>
  <si>
    <t>all other cells are "locked."   So don't worry about harming any of the spreadsheet.</t>
  </si>
  <si>
    <r>
      <t xml:space="preserve">If you wish to print the results in Part 4, simply use </t>
    </r>
    <r>
      <rPr>
        <b/>
        <sz val="10"/>
        <rFont val="Arial"/>
        <family val="0"/>
      </rPr>
      <t>Alt+F</t>
    </r>
    <r>
      <rPr>
        <sz val="10"/>
        <rFont val="Arial"/>
        <family val="2"/>
      </rPr>
      <t xml:space="preserve">, then enter </t>
    </r>
    <r>
      <rPr>
        <b/>
        <sz val="10"/>
        <rFont val="Arial"/>
        <family val="0"/>
      </rPr>
      <t>P</t>
    </r>
    <r>
      <rPr>
        <sz val="10"/>
        <rFont val="Arial"/>
        <family val="2"/>
      </rPr>
      <t>, and then follow the instructions on the screen</t>
    </r>
    <r>
      <rPr>
        <b/>
        <sz val="10"/>
        <rFont val="Arial"/>
        <family val="0"/>
      </rPr>
      <t>.</t>
    </r>
  </si>
  <si>
    <r>
      <t xml:space="preserve">In Part 4, to move quickly from one data input box to the next, simply press the </t>
    </r>
    <r>
      <rPr>
        <b/>
        <sz val="10"/>
        <rFont val="Arial"/>
        <family val="0"/>
      </rPr>
      <t xml:space="preserve">Tab </t>
    </r>
    <r>
      <rPr>
        <sz val="10"/>
        <rFont val="Arial"/>
        <family val="2"/>
      </rPr>
      <t>button.</t>
    </r>
  </si>
  <si>
    <r>
      <t xml:space="preserve">In Part 4, press </t>
    </r>
    <r>
      <rPr>
        <b/>
        <sz val="10"/>
        <rFont val="Arial"/>
        <family val="0"/>
      </rPr>
      <t>Ctrl+D</t>
    </r>
    <r>
      <rPr>
        <sz val="10"/>
        <rFont val="Arial"/>
        <family val="0"/>
      </rPr>
      <t xml:space="preserve"> if you wish to delete all personal information you have entered.</t>
    </r>
  </si>
  <si>
    <t>Part 3 -- Assumptions</t>
  </si>
  <si>
    <t>If married, your spouse's age is assumed to be approximately equal to your own age.</t>
  </si>
  <si>
    <t>The spreadsheet is limited so that your assumed retirement age should be above 40 and no higher than age 75.</t>
  </si>
  <si>
    <t>Future annual income increases are assumed to keep up with inflation.</t>
  </si>
  <si>
    <t>Combined annual income of you and your spouse must be less than $1,000,000.</t>
  </si>
  <si>
    <t>Social Security is assumed to begin at the earliest age allowed by the Social Security program, but not prior to your assumed retirement age.  The spreadsheet calculates any applicable early or late retirement adjustments to your Social Security benefit.</t>
  </si>
  <si>
    <t>Social Security law is assumed to remain unchanged.</t>
  </si>
  <si>
    <t>If you are married, the spreadsheet determines your combined Social Security benefit, recognizing that your spouse's benefit, based on his or her own income, may be greater than the usual 50% spousal benefit attributed to your income.</t>
  </si>
  <si>
    <t>Social Security calculations are made assuming that you or your spouse, whoever you indicate as having an income, will work enough years to qualify for Social Security benefits.</t>
  </si>
  <si>
    <t>When calculating Social Security benefits, It is also assumed that each user, and spouse with an income, have been employed steadily and received pay raises comparable to national averages.</t>
  </si>
  <si>
    <t>Retirement savings are assumed to be accumulated in some tax-deferred program, such as an Individual Retirement Account (IRA), 401(k) plan, 403(b) plan, a qualified profit sharing plan, a Simplified Employee Plan (SEP), a SIMPLE, etc.</t>
  </si>
  <si>
    <t>Projections are made as if the user is born on the first day of the calendar year and will die on the last day of the calendar year.</t>
  </si>
  <si>
    <t>Contributions to retirement savings are assumed to be deposited at the end of the year.</t>
  </si>
  <si>
    <t>Withdrawals from retirement savings are assumed to be made at the beginning of the year.</t>
  </si>
  <si>
    <t>It is assumed that when you terminate employment, you and your spouse are fully vested in any employer-derived retirement savings or pensions.</t>
  </si>
  <si>
    <t>If the user assumes retirement prior to age 59 1/2, it is assumed that withdrawals will be taken from IRAs in such a way as to avoid the usual 10% excise tax for early withdrawals.</t>
  </si>
  <si>
    <t>The term "pension plan" is used in these spreadsheets as the type of plan that provides a lifetime guaranteed income.  Any projected pension data entered by the user is assumed to be provided by your former or current</t>
  </si>
  <si>
    <t>employer(s), based on the user's assumed retirement age.</t>
  </si>
  <si>
    <t xml:space="preserve">The suggested number of "years during retirement" is comparable to a life expectancy.  It takes into account your year of birth, your assumed </t>
  </si>
  <si>
    <t>retirement age, and whether you are married (calling for the use of a joint life expectancy).</t>
  </si>
  <si>
    <t>Part 4 -- How Much to Save</t>
  </si>
  <si>
    <t>Current Date:</t>
  </si>
  <si>
    <t>Be sure to read Parts 1 through 3 of this workbook before proceding with this Part 4.</t>
  </si>
  <si>
    <t xml:space="preserve">Cautions: </t>
  </si>
  <si>
    <t>After entering your own data, double check for any errors.</t>
  </si>
  <si>
    <t xml:space="preserve"> </t>
  </si>
  <si>
    <t xml:space="preserve">Helpful hint:    </t>
  </si>
  <si>
    <r>
      <t xml:space="preserve">Use the </t>
    </r>
    <r>
      <rPr>
        <b/>
        <sz val="9"/>
        <rFont val="Arial"/>
        <family val="2"/>
      </rPr>
      <t>Tab</t>
    </r>
    <r>
      <rPr>
        <sz val="9"/>
        <rFont val="Arial"/>
        <family val="2"/>
      </rPr>
      <t xml:space="preserve"> key to move from one input data box to the next.</t>
    </r>
  </si>
  <si>
    <r>
      <t>To print</t>
    </r>
    <r>
      <rPr>
        <sz val="9"/>
        <rFont val="Arial"/>
        <family val="2"/>
      </rPr>
      <t xml:space="preserve"> all assumptions and projections, enter </t>
    </r>
    <r>
      <rPr>
        <b/>
        <sz val="9"/>
        <rFont val="Arial"/>
        <family val="2"/>
      </rPr>
      <t>Alt+F</t>
    </r>
    <r>
      <rPr>
        <sz val="9"/>
        <rFont val="Arial"/>
        <family val="2"/>
      </rPr>
      <t xml:space="preserve">, and then </t>
    </r>
    <r>
      <rPr>
        <b/>
        <sz val="9"/>
        <rFont val="Arial"/>
        <family val="2"/>
      </rPr>
      <t>P</t>
    </r>
    <r>
      <rPr>
        <sz val="9"/>
        <rFont val="Arial"/>
        <family val="2"/>
      </rPr>
      <t>.</t>
    </r>
  </si>
  <si>
    <t>Para-</t>
  </si>
  <si>
    <t>graph</t>
  </si>
  <si>
    <t>Line</t>
  </si>
  <si>
    <t>No.</t>
  </si>
  <si>
    <r>
      <t xml:space="preserve">This worksheet helps you determine </t>
    </r>
    <r>
      <rPr>
        <b/>
        <sz val="9"/>
        <color indexed="8"/>
        <rFont val="Arial"/>
        <family val="2"/>
      </rPr>
      <t>what percent of pay to save for retirement</t>
    </r>
    <r>
      <rPr>
        <sz val="9"/>
        <color indexed="8"/>
        <rFont val="Arial"/>
        <family val="2"/>
      </rPr>
      <t>.</t>
    </r>
  </si>
  <si>
    <r>
      <t>Fill in the cells in bold boxes</t>
    </r>
    <r>
      <rPr>
        <sz val="9"/>
        <color indexed="8"/>
        <rFont val="Arial"/>
        <family val="2"/>
      </rPr>
      <t>.  Then scroll down to line (15) to see the recommended savings.</t>
    </r>
  </si>
  <si>
    <t>Example</t>
  </si>
  <si>
    <t>Your own input</t>
  </si>
  <si>
    <r>
      <t>Marital status</t>
    </r>
    <r>
      <rPr>
        <sz val="9"/>
        <rFont val="Arial"/>
        <family val="2"/>
      </rPr>
      <t xml:space="preserve"> -- "1" if single, "2" if married</t>
    </r>
  </si>
  <si>
    <r>
      <t xml:space="preserve">Enter </t>
    </r>
    <r>
      <rPr>
        <b/>
        <sz val="9"/>
        <rFont val="Arial"/>
        <family val="2"/>
      </rPr>
      <t>your annual salary</t>
    </r>
  </si>
  <si>
    <r>
      <t xml:space="preserve">Enter your </t>
    </r>
    <r>
      <rPr>
        <b/>
        <sz val="9"/>
        <rFont val="Arial"/>
        <family val="2"/>
      </rPr>
      <t>spouse's annual salary</t>
    </r>
    <r>
      <rPr>
        <sz val="9"/>
        <rFont val="Arial"/>
        <family val="2"/>
      </rPr>
      <t>, if you are married</t>
    </r>
  </si>
  <si>
    <t>The percent of your current pay you expect to need</t>
  </si>
  <si>
    <t>in retirement, ignoring inflation.  Most advisors</t>
  </si>
  <si>
    <r>
      <t>recommend that this "</t>
    </r>
    <r>
      <rPr>
        <b/>
        <sz val="9"/>
        <rFont val="Arial"/>
        <family val="2"/>
      </rPr>
      <t>replacement ratio</t>
    </r>
    <r>
      <rPr>
        <sz val="9"/>
        <rFont val="Arial"/>
        <family val="2"/>
      </rPr>
      <t>" should be</t>
    </r>
  </si>
  <si>
    <t>something between 80% and 95%.</t>
  </si>
  <si>
    <r>
      <t xml:space="preserve">Your </t>
    </r>
    <r>
      <rPr>
        <b/>
        <sz val="9"/>
        <rFont val="Arial"/>
        <family val="2"/>
      </rPr>
      <t>current age</t>
    </r>
  </si>
  <si>
    <r>
      <t xml:space="preserve">The </t>
    </r>
    <r>
      <rPr>
        <b/>
        <sz val="9"/>
        <rFont val="Arial"/>
        <family val="2"/>
      </rPr>
      <t>age when you want to retire</t>
    </r>
  </si>
  <si>
    <r>
      <t xml:space="preserve">Number of </t>
    </r>
    <r>
      <rPr>
        <b/>
        <sz val="9"/>
        <rFont val="Arial"/>
        <family val="2"/>
      </rPr>
      <t>years during retirement</t>
    </r>
    <r>
      <rPr>
        <sz val="9"/>
        <rFont val="Arial"/>
        <family val="2"/>
      </rPr>
      <t>.  (Based</t>
    </r>
  </si>
  <si>
    <r>
      <t xml:space="preserve">on your other input, we </t>
    </r>
    <r>
      <rPr>
        <i/>
        <sz val="9"/>
        <rFont val="Arial"/>
        <family val="2"/>
      </rPr>
      <t>recommend</t>
    </r>
    <r>
      <rPr>
        <sz val="9"/>
        <rFont val="Arial"/>
        <family val="2"/>
      </rPr>
      <t xml:space="preserve"> </t>
    </r>
  </si>
  <si>
    <t>years.)</t>
  </si>
  <si>
    <r>
      <t xml:space="preserve">Value of  </t>
    </r>
    <r>
      <rPr>
        <b/>
        <sz val="9"/>
        <rFont val="Arial"/>
        <family val="2"/>
      </rPr>
      <t>retirement savings</t>
    </r>
    <r>
      <rPr>
        <sz val="9"/>
        <rFont val="Arial"/>
        <family val="2"/>
      </rPr>
      <t xml:space="preserve"> already accumulated</t>
    </r>
  </si>
  <si>
    <t>by you and your spouse combined</t>
  </si>
  <si>
    <r>
      <t xml:space="preserve">Enter here the </t>
    </r>
    <r>
      <rPr>
        <b/>
        <sz val="9"/>
        <rFont val="Arial"/>
        <family val="2"/>
      </rPr>
      <t>annual pension</t>
    </r>
    <r>
      <rPr>
        <sz val="9"/>
        <rFont val="Arial"/>
        <family val="2"/>
      </rPr>
      <t xml:space="preserve"> you expect to receive</t>
    </r>
  </si>
  <si>
    <t>from any pension plans (the kind of plans that promise</t>
  </si>
  <si>
    <t>lifetime incomes).  Check with the benefits manager</t>
  </si>
  <si>
    <t>of current and former employers if you are uncertain.</t>
  </si>
  <si>
    <r>
      <t xml:space="preserve">Is that </t>
    </r>
    <r>
      <rPr>
        <b/>
        <sz val="9"/>
        <rFont val="Arial"/>
        <family val="2"/>
      </rPr>
      <t>pension indexed to increase with inflation?</t>
    </r>
  </si>
  <si>
    <t>"0" if no or not applicable,   "1" if yes.</t>
  </si>
  <si>
    <r>
      <t xml:space="preserve">Assumed </t>
    </r>
    <r>
      <rPr>
        <b/>
        <sz val="9"/>
        <rFont val="Arial"/>
        <family val="2"/>
      </rPr>
      <t>pre-retirement investment yield</t>
    </r>
  </si>
  <si>
    <r>
      <t xml:space="preserve">Assumed </t>
    </r>
    <r>
      <rPr>
        <b/>
        <sz val="9"/>
        <rFont val="Arial"/>
        <family val="2"/>
      </rPr>
      <t>post-retirement investment yield</t>
    </r>
  </si>
  <si>
    <r>
      <t xml:space="preserve">Assumed rate of </t>
    </r>
    <r>
      <rPr>
        <b/>
        <sz val="9"/>
        <rFont val="Arial"/>
        <family val="2"/>
      </rPr>
      <t>inflation</t>
    </r>
  </si>
  <si>
    <r>
      <t xml:space="preserve">Annual </t>
    </r>
    <r>
      <rPr>
        <b/>
        <sz val="9"/>
        <rFont val="Arial"/>
        <family val="2"/>
      </rPr>
      <t>percent of pay contributed by your employer</t>
    </r>
  </si>
  <si>
    <t>to a profit sharing plan, 401(k) plan,</t>
  </si>
  <si>
    <t>END  OF  YOUR</t>
  </si>
  <si>
    <t>403(b) plan, SEP, SIMPLE, etc.</t>
  </si>
  <si>
    <t>OWN  INPUT</t>
  </si>
  <si>
    <t>CONCLUSION:</t>
  </si>
  <si>
    <t xml:space="preserve">Your household retirement savings should be </t>
  </si>
  <si>
    <t xml:space="preserve"> of total pay.</t>
  </si>
  <si>
    <r>
      <t xml:space="preserve">Enter </t>
    </r>
    <r>
      <rPr>
        <b/>
        <u val="single"/>
        <sz val="9"/>
        <color indexed="10"/>
        <rFont val="Arial"/>
        <family val="2"/>
      </rPr>
      <t>Ctrl+D</t>
    </r>
    <r>
      <rPr>
        <b/>
        <sz val="9"/>
        <color indexed="10"/>
        <rFont val="Arial"/>
        <family val="2"/>
      </rPr>
      <t xml:space="preserve"> to delete all of your confidential input data.</t>
    </r>
  </si>
  <si>
    <t>PROJECTED  ANNUAL  SALARIES</t>
  </si>
  <si>
    <t>Salaries</t>
  </si>
  <si>
    <t>Your</t>
  </si>
  <si>
    <t>Age</t>
  </si>
  <si>
    <t>Year</t>
  </si>
  <si>
    <t>You</t>
  </si>
  <si>
    <t>Spouse</t>
  </si>
  <si>
    <t>Total</t>
  </si>
  <si>
    <t>PROJECTED  SAVINGS  PRIOR  TO  RETIREMENT</t>
  </si>
  <si>
    <t>Beginning</t>
  </si>
  <si>
    <t>Contribution  by</t>
  </si>
  <si>
    <t xml:space="preserve">End </t>
  </si>
  <si>
    <t xml:space="preserve">Combined </t>
  </si>
  <si>
    <t>of Year</t>
  </si>
  <si>
    <t>Investment</t>
  </si>
  <si>
    <t>You and</t>
  </si>
  <si>
    <t xml:space="preserve">of Year </t>
  </si>
  <si>
    <t xml:space="preserve">Salaries </t>
  </si>
  <si>
    <t>Savings</t>
  </si>
  <si>
    <t>Gains</t>
  </si>
  <si>
    <t>Your Spouse</t>
  </si>
  <si>
    <t>Employer(s)</t>
  </si>
  <si>
    <t xml:space="preserve">Savings </t>
  </si>
  <si>
    <t>(A)</t>
  </si>
  <si>
    <t>(B)</t>
  </si>
  <si>
    <t xml:space="preserve">(C)   </t>
  </si>
  <si>
    <t xml:space="preserve">(D)   </t>
  </si>
  <si>
    <t xml:space="preserve">(E)   </t>
  </si>
  <si>
    <t xml:space="preserve">(F)   </t>
  </si>
  <si>
    <t xml:space="preserve">(G)   </t>
  </si>
  <si>
    <t xml:space="preserve">(H)   </t>
  </si>
  <si>
    <t>PROJECTED  ANNUAL  RETIREMENT  INCOME</t>
  </si>
  <si>
    <t>Replacement Ratio =</t>
  </si>
  <si>
    <t>Years</t>
  </si>
  <si>
    <t>Retirement  savings</t>
  </si>
  <si>
    <t>(C)+(D)+(F) =</t>
  </si>
  <si>
    <t>During</t>
  </si>
  <si>
    <t>Invest-</t>
  </si>
  <si>
    <t>Retire-</t>
  </si>
  <si>
    <t>Social</t>
  </si>
  <si>
    <t>With-</t>
  </si>
  <si>
    <t>ment</t>
  </si>
  <si>
    <t>Retirement</t>
  </si>
  <si>
    <t>Security</t>
  </si>
  <si>
    <t>Pension</t>
  </si>
  <si>
    <t>Balance</t>
  </si>
  <si>
    <t>drawals</t>
  </si>
  <si>
    <t xml:space="preserve">Balance </t>
  </si>
  <si>
    <t>Income</t>
  </si>
  <si>
    <t xml:space="preserve">(C)    </t>
  </si>
  <si>
    <t>(E)</t>
  </si>
  <si>
    <t>(F)</t>
  </si>
  <si>
    <t xml:space="preserve">(G)  </t>
  </si>
  <si>
    <t xml:space="preserve">(I)    </t>
  </si>
  <si>
    <t>YOUR  SOCIAL  SECURITY  BENEFITS</t>
  </si>
  <si>
    <r>
      <t xml:space="preserve">Your </t>
    </r>
    <r>
      <rPr>
        <b/>
        <sz val="9"/>
        <rFont val="Arial"/>
        <family val="2"/>
      </rPr>
      <t>current age:</t>
    </r>
  </si>
  <si>
    <t>The age when you want to retire:</t>
  </si>
  <si>
    <r>
      <t xml:space="preserve">Your </t>
    </r>
    <r>
      <rPr>
        <b/>
        <sz val="9"/>
        <rFont val="Arial"/>
        <family val="2"/>
      </rPr>
      <t>Social Security Normal Retirement Age</t>
    </r>
    <r>
      <rPr>
        <sz val="9"/>
        <rFont val="Arial"/>
        <family val="2"/>
      </rPr>
      <t>,</t>
    </r>
  </si>
  <si>
    <t>based on your current age this year:</t>
  </si>
  <si>
    <r>
      <t xml:space="preserve">The </t>
    </r>
    <r>
      <rPr>
        <b/>
        <sz val="9"/>
        <rFont val="Arial"/>
        <family val="2"/>
      </rPr>
      <t>earliest age when your Social Security benefits</t>
    </r>
  </si>
  <si>
    <r>
      <t>could commence</t>
    </r>
    <r>
      <rPr>
        <sz val="9"/>
        <rFont val="Arial"/>
        <family val="2"/>
      </rPr>
      <t>, under current Social Security law:</t>
    </r>
  </si>
  <si>
    <r>
      <t xml:space="preserve">For purposes of these projections we are </t>
    </r>
    <r>
      <rPr>
        <b/>
        <sz val="9"/>
        <rFont val="Arial"/>
        <family val="2"/>
      </rPr>
      <t>assuming</t>
    </r>
  </si>
  <si>
    <t>your Social Security benefits commence</t>
  </si>
  <si>
    <t>when you attain age:</t>
  </si>
  <si>
    <r>
      <t xml:space="preserve">Your Social Security benefit in </t>
    </r>
    <r>
      <rPr>
        <b/>
        <u val="single"/>
        <sz val="9"/>
        <rFont val="Arial"/>
        <family val="2"/>
      </rPr>
      <t>today's</t>
    </r>
    <r>
      <rPr>
        <b/>
        <sz val="9"/>
        <rFont val="Arial"/>
        <family val="2"/>
      </rPr>
      <t xml:space="preserve"> dollar is</t>
    </r>
  </si>
  <si>
    <t>For you</t>
  </si>
  <si>
    <t>For your spouse</t>
  </si>
  <si>
    <r>
      <t>Adjusted for</t>
    </r>
    <r>
      <rPr>
        <sz val="9"/>
        <rFont val="Arial"/>
        <family val="2"/>
      </rPr>
      <t xml:space="preserve"> commencement at an </t>
    </r>
    <r>
      <rPr>
        <b/>
        <sz val="9"/>
        <rFont val="Arial"/>
        <family val="2"/>
      </rPr>
      <t>early or late retirement age</t>
    </r>
    <r>
      <rPr>
        <sz val="9"/>
        <rFont val="Arial"/>
        <family val="2"/>
      </rPr>
      <t>:</t>
    </r>
  </si>
  <si>
    <r>
      <t>Further adjusted for inflation</t>
    </r>
    <r>
      <rPr>
        <sz val="9"/>
        <rFont val="Arial"/>
        <family val="2"/>
      </rPr>
      <t xml:space="preserve"> between now and</t>
    </r>
  </si>
  <si>
    <t>your Normal Social Security retirement age, or</t>
  </si>
  <si>
    <t>your assumed retirement age, if earlier:</t>
  </si>
  <si>
    <t>END  OF  WORKSHEET</t>
  </si>
  <si>
    <t>Part  5 -- Formulas &amp; Tables</t>
  </si>
  <si>
    <t>The spreadsheet will not function after this date.</t>
  </si>
  <si>
    <t>The user need not read any of this page.  It simply contains the various formulas</t>
  </si>
  <si>
    <t>and tables used throughout the workbook.</t>
  </si>
  <si>
    <t>Current year</t>
  </si>
  <si>
    <t>Expiration warning message, if any:</t>
  </si>
  <si>
    <t>Annual Social Security Benefits per Law in effect for</t>
  </si>
  <si>
    <t>Annual</t>
  </si>
  <si>
    <t xml:space="preserve">Annual </t>
  </si>
  <si>
    <t>Soc Sec</t>
  </si>
  <si>
    <t>Pay</t>
  </si>
  <si>
    <t>Repl Ratio</t>
  </si>
  <si>
    <t>Percent</t>
  </si>
  <si>
    <t>interpolated</t>
  </si>
  <si>
    <t xml:space="preserve">Marital status -- "1" if single, "2" if married  </t>
  </si>
  <si>
    <t xml:space="preserve">Annual salary  </t>
  </si>
  <si>
    <t xml:space="preserve">Spouse's annual salary  </t>
  </si>
  <si>
    <t xml:space="preserve">Targeted replacement ratio  </t>
  </si>
  <si>
    <t xml:space="preserve">Your current age  </t>
  </si>
  <si>
    <t xml:space="preserve">Your age at retirement  </t>
  </si>
  <si>
    <r>
      <t xml:space="preserve">Number of years </t>
    </r>
    <r>
      <rPr>
        <b/>
        <sz val="10"/>
        <rFont val="Arial"/>
        <family val="0"/>
      </rPr>
      <t>during</t>
    </r>
    <r>
      <rPr>
        <sz val="10"/>
        <rFont val="Arial"/>
        <family val="2"/>
      </rPr>
      <t xml:space="preserve"> retirement    </t>
    </r>
  </si>
  <si>
    <t xml:space="preserve">Retirement savings  </t>
  </si>
  <si>
    <t xml:space="preserve">Annual pension  </t>
  </si>
  <si>
    <t xml:space="preserve">Pre-retirement investment yield  </t>
  </si>
  <si>
    <t xml:space="preserve">Post-retirement investment yield  </t>
  </si>
  <si>
    <t xml:space="preserve">Assumed rate of inflation  </t>
  </si>
  <si>
    <t xml:space="preserve">Employer Annual contribution  </t>
  </si>
  <si>
    <t>Estimated year of birth</t>
  </si>
  <si>
    <t>Years until retirement</t>
  </si>
  <si>
    <t>Recommended number of years during retirement</t>
  </si>
  <si>
    <t>Approximate</t>
  </si>
  <si>
    <t>Life Expectancy</t>
  </si>
  <si>
    <t>Age at</t>
  </si>
  <si>
    <t xml:space="preserve">      plus </t>
  </si>
  <si>
    <t>retirement</t>
  </si>
  <si>
    <t>Single</t>
  </si>
  <si>
    <t>if  Married</t>
  </si>
  <si>
    <t>given</t>
  </si>
  <si>
    <t>linear interpolation</t>
  </si>
  <si>
    <t>Estimated Soc Sec Normal Retirement Age</t>
  </si>
  <si>
    <t>Using this table:</t>
  </si>
  <si>
    <t>Yr of Birth</t>
  </si>
  <si>
    <t>SS NRA</t>
  </si>
  <si>
    <t>Estimated age when Soc Sec will actually begin</t>
  </si>
  <si>
    <t>(assumed to begin as early as possible, but not before</t>
  </si>
  <si>
    <t>the user's chosen retirement age)</t>
  </si>
  <si>
    <t>Social Security Early Retirement Adjustment</t>
  </si>
  <si>
    <r>
      <t xml:space="preserve">Social Security </t>
    </r>
    <r>
      <rPr>
        <b/>
        <sz val="10"/>
        <rFont val="Arial"/>
        <family val="0"/>
      </rPr>
      <t>Early</t>
    </r>
    <r>
      <rPr>
        <sz val="10"/>
        <rFont val="Arial"/>
        <family val="0"/>
      </rPr>
      <t xml:space="preserve"> Retirement Adjustment Factor</t>
    </r>
  </si>
  <si>
    <t>Social Security Late Retirement Adjustment Factors</t>
  </si>
  <si>
    <t>Adj / yr</t>
  </si>
  <si>
    <t>Late retirement adjustment factor equals</t>
  </si>
  <si>
    <t>Calculation of Social Security Benefits</t>
  </si>
  <si>
    <t>Social Security Benefit per year, valued as of assumed retirement age</t>
  </si>
  <si>
    <t>for You</t>
  </si>
  <si>
    <t>for Your spouse</t>
  </si>
  <si>
    <t>Greater of (1) and (2)</t>
  </si>
  <si>
    <t>1.5 X (4) if married, otherwise 0</t>
  </si>
  <si>
    <t>Greater of (3) and (5)</t>
  </si>
  <si>
    <t>Early retirement adjusment</t>
  </si>
  <si>
    <t>combined</t>
  </si>
  <si>
    <t>Late retirement adjustment</t>
  </si>
  <si>
    <t>Inflation factor</t>
  </si>
  <si>
    <t>equals (6) X (7) X (8) X (9)</t>
  </si>
  <si>
    <t xml:space="preserve">Present value of Social Security, based on </t>
  </si>
  <si>
    <t xml:space="preserve"> per year.</t>
  </si>
  <si>
    <t>Social Security "R"  factor</t>
  </si>
  <si>
    <t>Number of yrs to receive Social Security</t>
  </si>
  <si>
    <t>Future value of Social Security</t>
  </si>
  <si>
    <t>Present value of Social Security</t>
  </si>
  <si>
    <t>Annual income needed in first yr of retirement</t>
  </si>
  <si>
    <t>Total Retirement Income "R"  factor</t>
  </si>
  <si>
    <t>Future value of total retirement income need</t>
  </si>
  <si>
    <t>Present value of total retirement income need</t>
  </si>
  <si>
    <t>Present value of pension</t>
  </si>
  <si>
    <t>Pension "R"  factor</t>
  </si>
  <si>
    <t>Future value of pension</t>
  </si>
  <si>
    <t>Present Value of shortfall</t>
  </si>
  <si>
    <t>PV of total need</t>
  </si>
  <si>
    <t>PV of Social Security</t>
  </si>
  <si>
    <t>PV of pension</t>
  </si>
  <si>
    <t>Current savings</t>
  </si>
  <si>
    <t>PV of shortfall</t>
  </si>
  <si>
    <t>Savings Rates</t>
  </si>
  <si>
    <t xml:space="preserve">"R" factor </t>
  </si>
  <si>
    <t>Present value future salary</t>
  </si>
  <si>
    <t>Cost ratio = (5.17-5) / (5.18-2)</t>
  </si>
  <si>
    <t>Employer contribution</t>
  </si>
  <si>
    <t>Employee savings rate = (3) - (5)</t>
  </si>
  <si>
    <t>Expiration Date:</t>
  </si>
  <si>
    <r>
      <t xml:space="preserve">The spreadsheet savings recommendation is </t>
    </r>
    <r>
      <rPr>
        <i/>
        <sz val="10"/>
        <rFont val="Arial"/>
        <family val="0"/>
      </rPr>
      <t>not</t>
    </r>
    <r>
      <rPr>
        <sz val="10"/>
        <rFont val="Arial"/>
        <family val="0"/>
      </rPr>
      <t xml:space="preserve"> limited.  The reason is to let you know how much you would have to save, even if the results may not be attainable. </t>
    </r>
  </si>
  <si>
    <t>Soc Sec Early Ret Disc Factors</t>
  </si>
  <si>
    <t>Louisville, KY 40243</t>
  </si>
  <si>
    <t>It is assumed that none of these savings are in a Roth IRA or Roth 401(k).</t>
  </si>
  <si>
    <t>Any annual pension is assumed to begin at your chosen retirement age.  If it would normally begin at a different age, ask your former or current employer's benefits manager for an estimate of what the pension will be if it commences at your assumed retirement age.</t>
  </si>
  <si>
    <t>calculated from social security</t>
  </si>
  <si>
    <t xml:space="preserve">website using date of birth of </t>
  </si>
  <si>
    <t>interpolated from between</t>
  </si>
  <si>
    <t xml:space="preserve">     We use the "Quick Calculator"</t>
  </si>
  <si>
    <t>Max amount, is from SS Tables</t>
  </si>
  <si>
    <t>See  http://www.ssa.gov/planners/benefitcalculators.htm</t>
  </si>
  <si>
    <t xml:space="preserve">     And the ben at the SS normal (full) ret age.</t>
  </si>
  <si>
    <r>
      <t xml:space="preserve">     In </t>
    </r>
    <r>
      <rPr>
        <b/>
        <u val="single"/>
        <sz val="10"/>
        <color indexed="10"/>
        <rFont val="Arial"/>
        <family val="2"/>
      </rPr>
      <t>today's</t>
    </r>
    <r>
      <rPr>
        <b/>
        <sz val="10"/>
        <color indexed="10"/>
        <rFont val="Arial"/>
        <family val="2"/>
      </rPr>
      <t xml:space="preserve"> dollars</t>
    </r>
  </si>
  <si>
    <t>Information  from  Part  4.</t>
  </si>
  <si>
    <t>If you are uncertain as to which assumptions to use, you can get rough results making these conservative assumptions:   a) 7.0% pre-retirement yield,  b) 5.0% post-retirement yield, and c) 3% inflation.</t>
  </si>
  <si>
    <t>Percent is given, by inputting mo ben from SS Tables</t>
  </si>
  <si>
    <t xml:space="preserve"> (age 65 in current year)</t>
  </si>
  <si>
    <t>calculated for the bold items; the rest are</t>
  </si>
  <si>
    <t>905 Lily Creek Road</t>
  </si>
  <si>
    <t>http://www.ssa.gov/planners/benefitcalculators.htm</t>
  </si>
  <si>
    <t>Retirement  Savings  Calculator,  Version  24.1   (Release 12-11-2023)</t>
  </si>
  <si>
    <t xml:space="preserve">Copyright 2023/2024.  All rights reserved. </t>
  </si>
  <si>
    <t>The Social Security Tables are valid only for 2024.  Consequently, this spreadsheet should not be used after 2024.  See your employer in order to obtain an updated version of this spreadsheet next year.</t>
  </si>
  <si>
    <t>After age 73, minimum distributions are required from some IRAs and employer-sponsored retirement programs.  It is assumed here that withdrawals are made in such a way that the user does not incur any related penalties.</t>
  </si>
  <si>
    <t>The Social Security tables are valid only for 2024.    Consequently, this worksheet should not be used</t>
  </si>
  <si>
    <t xml:space="preserve">after 2024.  This analysis should be updated every year since your input can change. </t>
  </si>
  <si>
    <t>(max amount occurs around $309,000)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</si>
</sst>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quot;$&quot;#,##0"/>
    <numFmt numFmtId="169" formatCode="0.0000%"/>
    <numFmt numFmtId="170" formatCode="#,##0.0000"/>
    <numFmt numFmtId="171" formatCode="0.0000"/>
    <numFmt numFmtId="172" formatCode="#,##0.0"/>
    <numFmt numFmtId="173" formatCode="#,##0.000"/>
    <numFmt numFmtId="174" formatCode="0.00000"/>
    <numFmt numFmtId="175" formatCode="0.000"/>
    <numFmt numFmtId="176" formatCode="_(* #,##0.000_);_(* \(#,##0.000\);_(* &quot;-&quot;??_);_(@_)"/>
    <numFmt numFmtId="177" formatCode="_(* #,##0.0000_);_(* \(#,##0.00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00000000_);_(* \(#,##0.000000000\);_(* &quot;-&quot;??_);_(@_)"/>
    <numFmt numFmtId="183" formatCode="_(* #,##0.0000000000_);_(* \(#,##0.0000000000\);_(* &quot;-&quot;??_);_(@_)"/>
    <numFmt numFmtId="184" formatCode="0.000%"/>
    <numFmt numFmtId="185" formatCode="#,##0.0_);\(#,##0.0\)"/>
    <numFmt numFmtId="186" formatCode="0_);\(0\)"/>
    <numFmt numFmtId="187" formatCode="mmmm\ d\,\ yyyy"/>
    <numFmt numFmtId="188" formatCode="0.00000%"/>
    <numFmt numFmtId="189" formatCode="0.00000000"/>
    <numFmt numFmtId="190" formatCode="0.0000000"/>
    <numFmt numFmtId="191" formatCode="0.000000"/>
    <numFmt numFmtId="192" formatCode="&quot;$&quot;#,##0.0_);[Red]\(&quot;$&quot;#,##0.0\)"/>
    <numFmt numFmtId="193" formatCode="#,##0.00000"/>
    <numFmt numFmtId="194" formatCode="#,##0.000000"/>
    <numFmt numFmtId="195" formatCode="#,##0.0000000"/>
    <numFmt numFmtId="196" formatCode="#,##0.00000000"/>
    <numFmt numFmtId="197" formatCode="#,##0.000000000"/>
    <numFmt numFmtId="198" formatCode="0.000000000000000%"/>
    <numFmt numFmtId="199" formatCode="0.00000000000000%"/>
    <numFmt numFmtId="200" formatCode="0.0000000000000%"/>
    <numFmt numFmtId="201" formatCode="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409]dddd\,\ mmmm\ dd\,\ yyyy"/>
    <numFmt numFmtId="209" formatCode="mm/dd/yy;@"/>
  </numFmts>
  <fonts count="66">
    <font>
      <sz val="10"/>
      <name val="Arial"/>
      <family val="0"/>
    </font>
    <font>
      <b/>
      <sz val="10"/>
      <name val="Arial"/>
      <family val="0"/>
    </font>
    <font>
      <i/>
      <sz val="10"/>
      <name val="Arial"/>
      <family val="0"/>
    </font>
    <font>
      <b/>
      <i/>
      <sz val="10"/>
      <name val="Arial"/>
      <family val="0"/>
    </font>
    <font>
      <u val="single"/>
      <sz val="10"/>
      <name val="Arial"/>
      <family val="2"/>
    </font>
    <font>
      <b/>
      <u val="single"/>
      <sz val="10"/>
      <name val="Arial"/>
      <family val="2"/>
    </font>
    <font>
      <sz val="8"/>
      <name val="Arial"/>
      <family val="2"/>
    </font>
    <font>
      <sz val="9"/>
      <name val="Arial"/>
      <family val="2"/>
    </font>
    <font>
      <u val="single"/>
      <sz val="9"/>
      <name val="Arial"/>
      <family val="2"/>
    </font>
    <font>
      <b/>
      <u val="single"/>
      <sz val="9"/>
      <name val="Arial"/>
      <family val="2"/>
    </font>
    <font>
      <b/>
      <sz val="9"/>
      <name val="Arial"/>
      <family val="2"/>
    </font>
    <font>
      <i/>
      <sz val="9"/>
      <name val="Arial"/>
      <family val="2"/>
    </font>
    <font>
      <b/>
      <sz val="8"/>
      <name val="Arial"/>
      <family val="2"/>
    </font>
    <font>
      <sz val="9"/>
      <color indexed="8"/>
      <name val="Arial"/>
      <family val="2"/>
    </font>
    <font>
      <b/>
      <sz val="14"/>
      <color indexed="29"/>
      <name val="Arial"/>
      <family val="2"/>
    </font>
    <font>
      <b/>
      <sz val="14"/>
      <color indexed="39"/>
      <name val="Arial"/>
      <family val="2"/>
    </font>
    <font>
      <b/>
      <sz val="14"/>
      <color indexed="10"/>
      <name val="Arial"/>
      <family val="2"/>
    </font>
    <font>
      <b/>
      <sz val="14"/>
      <color indexed="12"/>
      <name val="Arial"/>
      <family val="2"/>
    </font>
    <font>
      <b/>
      <u val="single"/>
      <sz val="14"/>
      <color indexed="50"/>
      <name val="Arial"/>
      <family val="2"/>
    </font>
    <font>
      <b/>
      <sz val="9"/>
      <color indexed="10"/>
      <name val="Arial"/>
      <family val="2"/>
    </font>
    <font>
      <sz val="9"/>
      <color indexed="12"/>
      <name val="Arial"/>
      <family val="2"/>
    </font>
    <font>
      <u val="single"/>
      <sz val="9"/>
      <color indexed="12"/>
      <name val="Arial"/>
      <family val="2"/>
    </font>
    <font>
      <b/>
      <sz val="9"/>
      <color indexed="8"/>
      <name val="Arial"/>
      <family val="2"/>
    </font>
    <font>
      <u val="single"/>
      <sz val="8"/>
      <name val="Arial"/>
      <family val="2"/>
    </font>
    <font>
      <b/>
      <u val="single"/>
      <sz val="9"/>
      <color indexed="10"/>
      <name val="Arial"/>
      <family val="2"/>
    </font>
    <font>
      <b/>
      <u val="single"/>
      <sz val="8"/>
      <name val="Arial"/>
      <family val="2"/>
    </font>
    <font>
      <b/>
      <sz val="10"/>
      <color indexed="10"/>
      <name val="Arial"/>
      <family val="2"/>
    </font>
    <font>
      <b/>
      <sz val="12"/>
      <color indexed="10"/>
      <name val="Arial"/>
      <family val="2"/>
    </font>
    <font>
      <b/>
      <sz val="10"/>
      <color indexed="8"/>
      <name val="Arial"/>
      <family val="2"/>
    </font>
    <font>
      <u val="single"/>
      <sz val="10"/>
      <color indexed="12"/>
      <name val="Arial"/>
      <family val="2"/>
    </font>
    <font>
      <u val="single"/>
      <sz val="10"/>
      <color indexed="36"/>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83">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xf>
    <xf numFmtId="0" fontId="1" fillId="0" borderId="0" xfId="0" applyFont="1" applyAlignment="1">
      <alignment/>
    </xf>
    <xf numFmtId="2" fontId="0" fillId="0" borderId="0" xfId="0" applyNumberFormat="1" applyAlignment="1">
      <alignment horizontal="left" vertical="top"/>
    </xf>
    <xf numFmtId="0" fontId="0" fillId="0" borderId="0" xfId="0" applyAlignment="1">
      <alignment vertical="top"/>
    </xf>
    <xf numFmtId="0" fontId="0" fillId="0" borderId="0" xfId="0" applyAlignment="1">
      <alignment horizontal="centerContinuous"/>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centerContinuous" vertical="top" wrapText="1"/>
    </xf>
    <xf numFmtId="0" fontId="0" fillId="0" borderId="0" xfId="0" applyAlignment="1">
      <alignment horizontal="center" vertical="top" wrapText="1"/>
    </xf>
    <xf numFmtId="0" fontId="5" fillId="0" borderId="10" xfId="0" applyFont="1" applyBorder="1" applyAlignment="1">
      <alignment horizontal="centerContinuous"/>
    </xf>
    <xf numFmtId="2" fontId="0" fillId="0" borderId="0" xfId="0" applyNumberFormat="1" applyAlignment="1">
      <alignment horizontal="left" vertical="top" wrapText="1"/>
    </xf>
    <xf numFmtId="0" fontId="1" fillId="0" borderId="0" xfId="0" applyFont="1" applyAlignment="1">
      <alignment horizontal="left" vertical="top" wrapText="1"/>
    </xf>
    <xf numFmtId="186" fontId="0" fillId="0" borderId="0" xfId="0" applyNumberFormat="1" applyAlignment="1">
      <alignment horizontal="center" vertical="top" wrapText="1"/>
    </xf>
    <xf numFmtId="0" fontId="5" fillId="0" borderId="0" xfId="0" applyFont="1" applyBorder="1" applyAlignment="1">
      <alignment/>
    </xf>
    <xf numFmtId="0" fontId="5" fillId="0" borderId="0" xfId="0" applyFont="1" applyAlignment="1">
      <alignment horizontal="left"/>
    </xf>
    <xf numFmtId="0" fontId="1" fillId="0" borderId="0" xfId="0" applyFont="1" applyAlignment="1">
      <alignment vertical="top" wrapText="1"/>
    </xf>
    <xf numFmtId="0" fontId="1" fillId="0" borderId="0" xfId="0" applyFont="1" applyAlignment="1">
      <alignment horizontal="left" vertical="top"/>
    </xf>
    <xf numFmtId="0" fontId="4" fillId="0" borderId="0" xfId="0" applyFont="1" applyAlignment="1">
      <alignment horizontal="lef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4" fillId="0" borderId="0" xfId="0" applyFont="1" applyAlignment="1">
      <alignment horizontal="center" wrapText="1"/>
    </xf>
    <xf numFmtId="0" fontId="1" fillId="0" borderId="0" xfId="0" applyFont="1" applyAlignment="1">
      <alignment horizontal="center"/>
    </xf>
    <xf numFmtId="0" fontId="0" fillId="0" borderId="0" xfId="0" applyFont="1" applyAlignment="1" applyProtection="1">
      <alignment horizontal="center"/>
      <protection hidden="1"/>
    </xf>
    <xf numFmtId="0" fontId="0" fillId="0" borderId="0" xfId="0" applyAlignment="1" applyProtection="1">
      <alignment/>
      <protection hidden="1"/>
    </xf>
    <xf numFmtId="0" fontId="1" fillId="0" borderId="0" xfId="0" applyFont="1" applyAlignment="1" applyProtection="1">
      <alignment/>
      <protection hidden="1"/>
    </xf>
    <xf numFmtId="0" fontId="4" fillId="0" borderId="0" xfId="0" applyFont="1" applyAlignment="1" applyProtection="1">
      <alignment horizontal="center"/>
      <protection hidden="1"/>
    </xf>
    <xf numFmtId="0" fontId="5" fillId="0" borderId="0" xfId="0" applyFont="1" applyAlignment="1" applyProtection="1">
      <alignment/>
      <protection hidden="1"/>
    </xf>
    <xf numFmtId="0" fontId="1" fillId="0" borderId="0" xfId="0" applyFont="1" applyAlignment="1" applyProtection="1">
      <alignment horizontal="left"/>
      <protection hidden="1"/>
    </xf>
    <xf numFmtId="0" fontId="0" fillId="0" borderId="0" xfId="0" applyAlignment="1" applyProtection="1">
      <alignment horizontal="center"/>
      <protection hidden="1"/>
    </xf>
    <xf numFmtId="0" fontId="5" fillId="0" borderId="0" xfId="0" applyFont="1" applyAlignment="1" applyProtection="1">
      <alignment/>
      <protection hidden="1"/>
    </xf>
    <xf numFmtId="0" fontId="4" fillId="0" borderId="0" xfId="0" applyFont="1" applyAlignment="1" applyProtection="1">
      <alignment/>
      <protection hidden="1"/>
    </xf>
    <xf numFmtId="3" fontId="0" fillId="0" borderId="0" xfId="0" applyNumberFormat="1" applyAlignment="1" applyProtection="1">
      <alignment/>
      <protection hidden="1"/>
    </xf>
    <xf numFmtId="165" fontId="0" fillId="0" borderId="0" xfId="42" applyNumberFormat="1" applyFont="1" applyAlignment="1" applyProtection="1">
      <alignment/>
      <protection hidden="1"/>
    </xf>
    <xf numFmtId="166" fontId="1" fillId="0" borderId="0" xfId="0" applyNumberFormat="1" applyFont="1" applyAlignment="1" applyProtection="1">
      <alignment/>
      <protection hidden="1"/>
    </xf>
    <xf numFmtId="166" fontId="0" fillId="0" borderId="0" xfId="0" applyNumberFormat="1" applyAlignment="1" applyProtection="1">
      <alignment/>
      <protection hidden="1"/>
    </xf>
    <xf numFmtId="37" fontId="0" fillId="0" borderId="0" xfId="0" applyNumberFormat="1" applyAlignment="1" applyProtection="1">
      <alignment/>
      <protection hidden="1"/>
    </xf>
    <xf numFmtId="1" fontId="0" fillId="0" borderId="0" xfId="0" applyNumberFormat="1" applyAlignment="1" applyProtection="1">
      <alignment/>
      <protection hidden="1"/>
    </xf>
    <xf numFmtId="3" fontId="5" fillId="0" borderId="0" xfId="0" applyNumberFormat="1" applyFont="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right" vertical="center"/>
      <protection hidden="1"/>
    </xf>
    <xf numFmtId="0" fontId="0" fillId="0" borderId="0" xfId="0" applyAlignment="1" applyProtection="1">
      <alignment horizontal="left"/>
      <protection hidden="1"/>
    </xf>
    <xf numFmtId="9" fontId="1" fillId="0" borderId="0" xfId="0" applyNumberFormat="1" applyFont="1" applyAlignment="1" applyProtection="1">
      <alignment horizontal="center"/>
      <protection hidden="1"/>
    </xf>
    <xf numFmtId="9" fontId="0" fillId="0" borderId="0" xfId="0" applyNumberFormat="1" applyAlignment="1" applyProtection="1">
      <alignment/>
      <protection hidden="1"/>
    </xf>
    <xf numFmtId="3" fontId="0" fillId="0" borderId="0" xfId="0" applyNumberFormat="1" applyAlignment="1" applyProtection="1">
      <alignment horizontal="center"/>
      <protection hidden="1"/>
    </xf>
    <xf numFmtId="0" fontId="0" fillId="0" borderId="0" xfId="0" applyAlignment="1" applyProtection="1">
      <alignment horizontal="right" vertical="center"/>
      <protection hidden="1"/>
    </xf>
    <xf numFmtId="10" fontId="1" fillId="0" borderId="0" xfId="0" applyNumberFormat="1" applyFont="1" applyAlignment="1" applyProtection="1">
      <alignment horizontal="center"/>
      <protection hidden="1"/>
    </xf>
    <xf numFmtId="10" fontId="0" fillId="0" borderId="0" xfId="0" applyNumberFormat="1" applyAlignment="1" applyProtection="1">
      <alignment/>
      <protection hidden="1"/>
    </xf>
    <xf numFmtId="0" fontId="0" fillId="0" borderId="0" xfId="0" applyBorder="1" applyAlignment="1" applyProtection="1">
      <alignment horizontal="right"/>
      <protection hidden="1"/>
    </xf>
    <xf numFmtId="0" fontId="5" fillId="0" borderId="0" xfId="0" applyFont="1" applyBorder="1" applyAlignment="1" applyProtection="1">
      <alignment/>
      <protection hidden="1"/>
    </xf>
    <xf numFmtId="1" fontId="0" fillId="0" borderId="0" xfId="0" applyNumberFormat="1" applyAlignment="1" applyProtection="1">
      <alignment horizontal="center"/>
      <protection hidden="1"/>
    </xf>
    <xf numFmtId="0" fontId="5" fillId="0" borderId="0" xfId="0" applyFont="1" applyBorder="1" applyAlignment="1" applyProtection="1">
      <alignment/>
      <protection hidden="1"/>
    </xf>
    <xf numFmtId="37" fontId="7" fillId="0" borderId="0"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Continuous"/>
      <protection hidden="1"/>
    </xf>
    <xf numFmtId="0" fontId="0" fillId="0" borderId="10" xfId="0" applyBorder="1" applyAlignment="1" applyProtection="1">
      <alignment horizontal="centerContinuous"/>
      <protection hidden="1"/>
    </xf>
    <xf numFmtId="0" fontId="4" fillId="0" borderId="0" xfId="0" applyFont="1" applyBorder="1" applyAlignment="1" applyProtection="1">
      <alignment horizontal="center"/>
      <protection hidden="1"/>
    </xf>
    <xf numFmtId="0" fontId="0" fillId="0" borderId="10" xfId="0" applyFont="1" applyBorder="1" applyAlignment="1" applyProtection="1">
      <alignment horizontal="centerContinuous"/>
      <protection hidden="1"/>
    </xf>
    <xf numFmtId="1" fontId="0" fillId="0" borderId="0" xfId="0" applyNumberFormat="1" applyBorder="1" applyAlignment="1" applyProtection="1">
      <alignment horizontal="center"/>
      <protection hidden="1"/>
    </xf>
    <xf numFmtId="171" fontId="0" fillId="0" borderId="11" xfId="0" applyNumberFormat="1" applyBorder="1" applyAlignment="1" applyProtection="1">
      <alignment/>
      <protection hidden="1"/>
    </xf>
    <xf numFmtId="171" fontId="0" fillId="0" borderId="0" xfId="0" applyNumberFormat="1" applyAlignment="1" applyProtection="1">
      <alignment/>
      <protection hidden="1"/>
    </xf>
    <xf numFmtId="3" fontId="0" fillId="0" borderId="0" xfId="0" applyNumberFormat="1" applyBorder="1" applyAlignment="1" applyProtection="1">
      <alignment/>
      <protection hidden="1"/>
    </xf>
    <xf numFmtId="2" fontId="0" fillId="0" borderId="0" xfId="0" applyNumberFormat="1" applyAlignment="1" applyProtection="1">
      <alignment horizontal="center"/>
      <protection hidden="1"/>
    </xf>
    <xf numFmtId="3" fontId="5" fillId="0" borderId="0" xfId="0" applyNumberFormat="1" applyFont="1" applyAlignment="1" applyProtection="1">
      <alignment/>
      <protection hidden="1"/>
    </xf>
    <xf numFmtId="3" fontId="4" fillId="0" borderId="0" xfId="0" applyNumberFormat="1" applyFont="1" applyAlignment="1" applyProtection="1">
      <alignment horizontal="center"/>
      <protection hidden="1"/>
    </xf>
    <xf numFmtId="1" fontId="0" fillId="0" borderId="0" xfId="0" applyNumberFormat="1" applyBorder="1" applyAlignment="1" applyProtection="1">
      <alignment horizontal="left"/>
      <protection hidden="1"/>
    </xf>
    <xf numFmtId="171" fontId="0" fillId="0" borderId="0" xfId="0" applyNumberFormat="1" applyBorder="1" applyAlignment="1" applyProtection="1">
      <alignment horizontal="center"/>
      <protection hidden="1"/>
    </xf>
    <xf numFmtId="1" fontId="0" fillId="0" borderId="0" xfId="0" applyNumberFormat="1" applyBorder="1" applyAlignment="1" applyProtection="1">
      <alignment/>
      <protection hidden="1"/>
    </xf>
    <xf numFmtId="0" fontId="0" fillId="0" borderId="10" xfId="0" applyBorder="1" applyAlignment="1" applyProtection="1">
      <alignment/>
      <protection hidden="1"/>
    </xf>
    <xf numFmtId="171" fontId="0" fillId="0" borderId="0" xfId="0" applyNumberFormat="1" applyBorder="1" applyAlignment="1" applyProtection="1">
      <alignment horizontal="left"/>
      <protection hidden="1"/>
    </xf>
    <xf numFmtId="0" fontId="0" fillId="0" borderId="12" xfId="0" applyBorder="1" applyAlignment="1" applyProtection="1">
      <alignment/>
      <protection hidden="1"/>
    </xf>
    <xf numFmtId="170" fontId="0" fillId="0" borderId="0" xfId="0" applyNumberFormat="1" applyBorder="1" applyAlignment="1" applyProtection="1">
      <alignment horizontal="left"/>
      <protection hidden="1"/>
    </xf>
    <xf numFmtId="0" fontId="0" fillId="0" borderId="13" xfId="0" applyBorder="1" applyAlignment="1" applyProtection="1">
      <alignment/>
      <protection hidden="1"/>
    </xf>
    <xf numFmtId="171" fontId="0" fillId="0" borderId="0" xfId="0" applyNumberFormat="1" applyBorder="1" applyAlignment="1" applyProtection="1">
      <alignment/>
      <protection hidden="1"/>
    </xf>
    <xf numFmtId="0" fontId="1" fillId="0" borderId="0" xfId="0" applyFont="1" applyBorder="1" applyAlignment="1" applyProtection="1">
      <alignment/>
      <protection hidden="1"/>
    </xf>
    <xf numFmtId="3" fontId="0" fillId="0" borderId="0" xfId="0" applyNumberFormat="1" applyFill="1" applyBorder="1" applyAlignment="1" applyProtection="1">
      <alignment/>
      <protection hidden="1"/>
    </xf>
    <xf numFmtId="3" fontId="1" fillId="0" borderId="0" xfId="0" applyNumberFormat="1"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3" fontId="0" fillId="0" borderId="0" xfId="0" applyNumberFormat="1" applyFill="1" applyBorder="1" applyAlignment="1" applyProtection="1">
      <alignment horizontal="right"/>
      <protection hidden="1"/>
    </xf>
    <xf numFmtId="191" fontId="0" fillId="0" borderId="0" xfId="0" applyNumberFormat="1" applyBorder="1" applyAlignment="1" applyProtection="1">
      <alignment/>
      <protection hidden="1"/>
    </xf>
    <xf numFmtId="165" fontId="0" fillId="0" borderId="0" xfId="42" applyNumberFormat="1" applyFont="1" applyBorder="1" applyAlignment="1" applyProtection="1">
      <alignment/>
      <protection hidden="1"/>
    </xf>
    <xf numFmtId="37" fontId="0" fillId="0" borderId="0" xfId="0" applyNumberFormat="1" applyFont="1" applyFill="1" applyBorder="1" applyAlignment="1" applyProtection="1">
      <alignment horizontal="center" vertical="center"/>
      <protection hidden="1"/>
    </xf>
    <xf numFmtId="0" fontId="16" fillId="0" borderId="0" xfId="0" applyFont="1" applyAlignment="1" applyProtection="1">
      <alignment/>
      <protection hidden="1"/>
    </xf>
    <xf numFmtId="0" fontId="17" fillId="0" borderId="0" xfId="0" applyFont="1" applyAlignment="1" applyProtection="1">
      <alignment/>
      <protection hidden="1"/>
    </xf>
    <xf numFmtId="0" fontId="18" fillId="0" borderId="0" xfId="0" applyFont="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3" fontId="0" fillId="0" borderId="0" xfId="0" applyNumberFormat="1" applyBorder="1" applyAlignment="1" applyProtection="1">
      <alignment horizontal="center"/>
      <protection hidden="1"/>
    </xf>
    <xf numFmtId="9" fontId="0" fillId="0" borderId="0" xfId="0" applyNumberFormat="1" applyBorder="1" applyAlignment="1" applyProtection="1">
      <alignment horizontal="center"/>
      <protection hidden="1"/>
    </xf>
    <xf numFmtId="37" fontId="0" fillId="0" borderId="0" xfId="0" applyNumberFormat="1" applyBorder="1" applyAlignment="1" applyProtection="1">
      <alignment horizontal="center"/>
      <protection hidden="1"/>
    </xf>
    <xf numFmtId="10" fontId="0" fillId="0" borderId="0" xfId="0" applyNumberFormat="1" applyBorder="1" applyAlignment="1" applyProtection="1">
      <alignment horizontal="center"/>
      <protection hidden="1"/>
    </xf>
    <xf numFmtId="0" fontId="16" fillId="0" borderId="0" xfId="0" applyFont="1" applyAlignment="1" applyProtection="1">
      <alignment vertical="center"/>
      <protection hidden="1"/>
    </xf>
    <xf numFmtId="0" fontId="0" fillId="0" borderId="0" xfId="0" applyAlignment="1" applyProtection="1">
      <alignment vertical="center"/>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4"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7" fillId="0" borderId="18" xfId="0" applyFont="1" applyBorder="1" applyAlignment="1" applyProtection="1">
      <alignment horizontal="right" vertical="center"/>
      <protection hidden="1"/>
    </xf>
    <xf numFmtId="14" fontId="7" fillId="0" borderId="19" xfId="0" applyNumberFormat="1" applyFont="1" applyBorder="1" applyAlignment="1" applyProtection="1">
      <alignment horizontal="center"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7" fillId="0" borderId="10" xfId="0" applyFont="1" applyBorder="1" applyAlignment="1" applyProtection="1">
      <alignment vertical="center"/>
      <protection hidden="1"/>
    </xf>
    <xf numFmtId="37" fontId="6" fillId="0" borderId="0" xfId="0" applyNumberFormat="1" applyFont="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7" fillId="0" borderId="0" xfId="0" applyFont="1" applyAlignment="1" applyProtection="1">
      <alignment horizontal="righ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right" vertical="center"/>
      <protection hidden="1"/>
    </xf>
    <xf numFmtId="0" fontId="10" fillId="0" borderId="1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right" vertical="center"/>
      <protection hidden="1"/>
    </xf>
    <xf numFmtId="3" fontId="7" fillId="0" borderId="0" xfId="0" applyNumberFormat="1" applyFont="1" applyAlignment="1" applyProtection="1">
      <alignment horizontal="center" vertical="center"/>
      <protection hidden="1"/>
    </xf>
    <xf numFmtId="3" fontId="7" fillId="0" borderId="0" xfId="0" applyNumberFormat="1" applyFont="1" applyAlignment="1" applyProtection="1">
      <alignment vertical="center"/>
      <protection hidden="1"/>
    </xf>
    <xf numFmtId="3" fontId="7" fillId="0" borderId="10" xfId="0" applyNumberFormat="1" applyFont="1" applyBorder="1" applyAlignment="1" applyProtection="1">
      <alignment horizontal="center" vertical="center"/>
      <protection hidden="1"/>
    </xf>
    <xf numFmtId="3" fontId="7" fillId="0" borderId="10" xfId="0" applyNumberFormat="1" applyFont="1" applyBorder="1" applyAlignment="1" applyProtection="1">
      <alignment vertical="center"/>
      <protection hidden="1"/>
    </xf>
    <xf numFmtId="3" fontId="10" fillId="0" borderId="10" xfId="0" applyNumberFormat="1" applyFont="1" applyBorder="1" applyAlignment="1" applyProtection="1">
      <alignment horizontal="center" vertical="center"/>
      <protection hidden="1"/>
    </xf>
    <xf numFmtId="37" fontId="8" fillId="0" borderId="0" xfId="0" applyNumberFormat="1" applyFont="1" applyBorder="1" applyAlignment="1" applyProtection="1">
      <alignment horizontal="center" vertical="center"/>
      <protection hidden="1"/>
    </xf>
    <xf numFmtId="37" fontId="7" fillId="0" borderId="10" xfId="0" applyNumberFormat="1" applyFont="1" applyBorder="1" applyAlignment="1" applyProtection="1">
      <alignment horizontal="center" vertical="center"/>
      <protection hidden="1"/>
    </xf>
    <xf numFmtId="37" fontId="10" fillId="0" borderId="10" xfId="0" applyNumberFormat="1" applyFont="1" applyBorder="1" applyAlignment="1" applyProtection="1">
      <alignment horizontal="center" vertical="center"/>
      <protection hidden="1"/>
    </xf>
    <xf numFmtId="0" fontId="10" fillId="0" borderId="0" xfId="0" applyFont="1" applyAlignment="1" applyProtection="1">
      <alignment vertical="center"/>
      <protection hidden="1"/>
    </xf>
    <xf numFmtId="9" fontId="7" fillId="0" borderId="0" xfId="0" applyNumberFormat="1" applyFont="1" applyAlignment="1" applyProtection="1">
      <alignment horizontal="center" vertical="center"/>
      <protection hidden="1"/>
    </xf>
    <xf numFmtId="1"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right" vertical="center"/>
      <protection hidden="1"/>
    </xf>
    <xf numFmtId="37" fontId="7" fillId="0" borderId="0" xfId="42" applyNumberFormat="1" applyFont="1" applyAlignment="1" applyProtection="1">
      <alignment horizontal="center" vertical="center"/>
      <protection hidden="1"/>
    </xf>
    <xf numFmtId="37" fontId="7" fillId="0" borderId="10" xfId="42" applyNumberFormat="1" applyFont="1" applyBorder="1" applyAlignment="1" applyProtection="1">
      <alignment horizontal="center" vertical="center"/>
      <protection hidden="1"/>
    </xf>
    <xf numFmtId="37" fontId="7" fillId="0" borderId="10" xfId="0" applyNumberFormat="1" applyFont="1" applyFill="1" applyBorder="1" applyAlignment="1" applyProtection="1">
      <alignment horizontal="center" vertical="center"/>
      <protection hidden="1"/>
    </xf>
    <xf numFmtId="10" fontId="7" fillId="0" borderId="0" xfId="0" applyNumberFormat="1" applyFont="1" applyAlignment="1" applyProtection="1">
      <alignment horizontal="center" vertical="center"/>
      <protection hidden="1"/>
    </xf>
    <xf numFmtId="10" fontId="7" fillId="0" borderId="10" xfId="0" applyNumberFormat="1" applyFont="1" applyBorder="1" applyAlignment="1" applyProtection="1">
      <alignment horizontal="center" vertical="center"/>
      <protection hidden="1"/>
    </xf>
    <xf numFmtId="10" fontId="10" fillId="0" borderId="10" xfId="0" applyNumberFormat="1"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37" fontId="10" fillId="0" borderId="0" xfId="0" applyNumberFormat="1" applyFont="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18" xfId="0" applyFont="1" applyBorder="1" applyAlignment="1" applyProtection="1">
      <alignment vertical="center"/>
      <protection hidden="1"/>
    </xf>
    <xf numFmtId="0" fontId="7" fillId="0" borderId="18" xfId="0" applyFont="1" applyBorder="1" applyAlignment="1" applyProtection="1">
      <alignment vertical="center"/>
      <protection hidden="1"/>
    </xf>
    <xf numFmtId="0" fontId="13" fillId="0" borderId="18" xfId="0" applyFont="1" applyBorder="1" applyAlignment="1" applyProtection="1">
      <alignment horizontal="center" vertical="center"/>
      <protection hidden="1"/>
    </xf>
    <xf numFmtId="0" fontId="10" fillId="0" borderId="18" xfId="0" applyFont="1" applyBorder="1" applyAlignment="1" applyProtection="1">
      <alignment horizontal="right" vertical="center"/>
      <protection hidden="1"/>
    </xf>
    <xf numFmtId="0" fontId="7" fillId="0" borderId="19" xfId="0" applyFont="1" applyBorder="1" applyAlignment="1" applyProtection="1">
      <alignment vertical="center"/>
      <protection hidden="1"/>
    </xf>
    <xf numFmtId="37" fontId="7" fillId="0" borderId="0" xfId="0" applyNumberFormat="1" applyFont="1" applyAlignment="1" applyProtection="1">
      <alignment horizontal="center" vertical="center"/>
      <protection hidden="1"/>
    </xf>
    <xf numFmtId="37" fontId="7" fillId="0" borderId="0" xfId="0" applyNumberFormat="1" applyFont="1" applyAlignment="1" applyProtection="1">
      <alignment horizontal="center" vertical="center"/>
      <protection hidden="1" locked="0"/>
    </xf>
    <xf numFmtId="0" fontId="7" fillId="0" borderId="17" xfId="0" applyFont="1" applyBorder="1" applyAlignment="1" applyProtection="1">
      <alignment vertical="center"/>
      <protection hidden="1"/>
    </xf>
    <xf numFmtId="0" fontId="7" fillId="0" borderId="18" xfId="0" applyFont="1" applyBorder="1" applyAlignment="1" applyProtection="1">
      <alignment horizontal="right" vertical="center"/>
      <protection hidden="1"/>
    </xf>
    <xf numFmtId="0" fontId="6" fillId="0" borderId="0" xfId="0" applyFont="1" applyAlignment="1" applyProtection="1">
      <alignment vertical="center"/>
      <protection hidden="1"/>
    </xf>
    <xf numFmtId="0" fontId="6" fillId="0" borderId="10" xfId="0" applyFont="1" applyBorder="1" applyAlignment="1" applyProtection="1">
      <alignment horizontal="centerContinuous" vertical="center"/>
      <protection hidden="1"/>
    </xf>
    <xf numFmtId="0" fontId="6" fillId="0" borderId="0" xfId="0" applyFont="1" applyBorder="1" applyAlignment="1" applyProtection="1">
      <alignment vertical="center"/>
      <protection hidden="1"/>
    </xf>
    <xf numFmtId="37"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right" vertical="center"/>
      <protection hidden="1"/>
    </xf>
    <xf numFmtId="0" fontId="0" fillId="0" borderId="0" xfId="0" applyAlignment="1" applyProtection="1">
      <alignment/>
      <protection hidden="1"/>
    </xf>
    <xf numFmtId="0" fontId="0" fillId="0" borderId="0" xfId="0" applyAlignment="1" applyProtection="1">
      <alignment horizontal="center" vertical="center"/>
      <protection hidden="1"/>
    </xf>
    <xf numFmtId="0" fontId="2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vertical="center"/>
      <protection hidden="1"/>
    </xf>
    <xf numFmtId="0" fontId="0" fillId="0" borderId="10" xfId="0" applyBorder="1" applyAlignment="1" applyProtection="1">
      <alignment horizontal="centerContinuous" vertical="center"/>
      <protection hidden="1"/>
    </xf>
    <xf numFmtId="0" fontId="0" fillId="0" borderId="1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37" fontId="0" fillId="0" borderId="0" xfId="0" applyNumberFormat="1" applyAlignment="1" applyProtection="1">
      <alignment horizontal="center" vertical="center"/>
      <protection hidden="1"/>
    </xf>
    <xf numFmtId="3" fontId="6" fillId="0" borderId="0" xfId="42" applyNumberFormat="1" applyFont="1" applyAlignment="1" applyProtection="1">
      <alignment vertical="center"/>
      <protection hidden="1"/>
    </xf>
    <xf numFmtId="3" fontId="6" fillId="0" borderId="0" xfId="42" applyNumberFormat="1" applyFont="1" applyAlignment="1" applyProtection="1">
      <alignment horizontal="right" vertical="center"/>
      <protection hidden="1"/>
    </xf>
    <xf numFmtId="0" fontId="6" fillId="0" borderId="10" xfId="0" applyFont="1" applyBorder="1" applyAlignment="1" applyProtection="1">
      <alignment horizontal="center" vertical="center"/>
      <protection hidden="1"/>
    </xf>
    <xf numFmtId="3" fontId="6" fillId="0" borderId="10" xfId="42" applyNumberFormat="1" applyFont="1" applyBorder="1" applyAlignment="1" applyProtection="1">
      <alignment vertical="center"/>
      <protection hidden="1"/>
    </xf>
    <xf numFmtId="3" fontId="6" fillId="0" borderId="10" xfId="42" applyNumberFormat="1" applyFont="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3" fontId="6" fillId="0" borderId="0" xfId="42" applyNumberFormat="1" applyFont="1" applyBorder="1" applyAlignment="1" applyProtection="1">
      <alignment vertical="center"/>
      <protection hidden="1"/>
    </xf>
    <xf numFmtId="3" fontId="6" fillId="0" borderId="0" xfId="42" applyNumberFormat="1" applyFont="1" applyBorder="1" applyAlignment="1" applyProtection="1">
      <alignment horizontal="right" vertical="center"/>
      <protection hidden="1"/>
    </xf>
    <xf numFmtId="3" fontId="6" fillId="0" borderId="0" xfId="42" applyNumberFormat="1" applyFont="1" applyAlignment="1" applyProtection="1">
      <alignment horizontal="centerContinuous" vertical="center"/>
      <protection hidden="1"/>
    </xf>
    <xf numFmtId="3" fontId="6" fillId="0" borderId="0" xfId="0" applyNumberFormat="1" applyFont="1" applyAlignment="1" applyProtection="1">
      <alignment vertical="center"/>
      <protection hidden="1"/>
    </xf>
    <xf numFmtId="1" fontId="6" fillId="0" borderId="0" xfId="0" applyNumberFormat="1" applyFont="1" applyAlignment="1" applyProtection="1">
      <alignment vertical="center"/>
      <protection hidden="1"/>
    </xf>
    <xf numFmtId="3" fontId="6" fillId="0" borderId="0" xfId="0" applyNumberFormat="1" applyFont="1" applyAlignment="1" applyProtection="1">
      <alignment horizontal="right" vertical="center"/>
      <protection hidden="1"/>
    </xf>
    <xf numFmtId="3" fontId="6" fillId="0" borderId="0" xfId="0" applyNumberFormat="1" applyFont="1" applyAlignment="1" applyProtection="1">
      <alignment horizontal="center" vertical="center"/>
      <protection hidden="1"/>
    </xf>
    <xf numFmtId="3" fontId="10" fillId="0" borderId="0" xfId="0" applyNumberFormat="1" applyFont="1" applyAlignment="1" applyProtection="1">
      <alignment vertical="center"/>
      <protection hidden="1"/>
    </xf>
    <xf numFmtId="3" fontId="6" fillId="0" borderId="20" xfId="0" applyNumberFormat="1" applyFont="1" applyBorder="1" applyAlignment="1" applyProtection="1">
      <alignment vertical="center"/>
      <protection hidden="1"/>
    </xf>
    <xf numFmtId="3" fontId="6" fillId="0" borderId="20" xfId="0" applyNumberFormat="1" applyFont="1" applyBorder="1" applyAlignment="1" applyProtection="1">
      <alignment horizontal="right" vertical="center"/>
      <protection hidden="1"/>
    </xf>
    <xf numFmtId="0" fontId="0" fillId="0" borderId="20" xfId="0" applyBorder="1" applyAlignment="1" applyProtection="1">
      <alignment vertical="center"/>
      <protection hidden="1"/>
    </xf>
    <xf numFmtId="0" fontId="0" fillId="0" borderId="20" xfId="0" applyBorder="1" applyAlignment="1" applyProtection="1">
      <alignment horizontal="right" vertical="center"/>
      <protection hidden="1"/>
    </xf>
    <xf numFmtId="14" fontId="0" fillId="0" borderId="20" xfId="0" applyNumberFormat="1" applyBorder="1" applyAlignment="1" applyProtection="1">
      <alignment horizontal="center" vertical="center"/>
      <protection hidden="1"/>
    </xf>
    <xf numFmtId="1" fontId="6" fillId="0" borderId="0" xfId="0" applyNumberFormat="1" applyFont="1" applyAlignment="1" applyProtection="1">
      <alignment horizontal="center" vertical="center"/>
      <protection hidden="1"/>
    </xf>
    <xf numFmtId="3" fontId="6" fillId="0" borderId="21" xfId="0" applyNumberFormat="1" applyFont="1" applyBorder="1" applyAlignment="1" applyProtection="1">
      <alignment horizontal="right" vertical="center"/>
      <protection hidden="1"/>
    </xf>
    <xf numFmtId="3" fontId="6" fillId="0" borderId="22" xfId="0" applyNumberFormat="1" applyFont="1" applyBorder="1" applyAlignment="1" applyProtection="1">
      <alignment vertical="center"/>
      <protection hidden="1"/>
    </xf>
    <xf numFmtId="3" fontId="6" fillId="0" borderId="22"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3" fontId="6" fillId="0" borderId="23" xfId="0" applyNumberFormat="1" applyFont="1" applyBorder="1" applyAlignment="1" applyProtection="1">
      <alignment horizontal="centerContinuous" vertical="center"/>
      <protection hidden="1"/>
    </xf>
    <xf numFmtId="0" fontId="6" fillId="0" borderId="23" xfId="0" applyFont="1" applyBorder="1" applyAlignment="1" applyProtection="1">
      <alignment horizontal="centerContinuous" vertical="center"/>
      <protection hidden="1"/>
    </xf>
    <xf numFmtId="37" fontId="6" fillId="0" borderId="24" xfId="0" applyNumberFormat="1" applyFont="1" applyBorder="1" applyAlignment="1" applyProtection="1">
      <alignment horizontal="right" vertical="center"/>
      <protection hidden="1"/>
    </xf>
    <xf numFmtId="0" fontId="6" fillId="0" borderId="0" xfId="0" applyFont="1" applyAlignment="1" applyProtection="1">
      <alignment horizontal="right"/>
      <protection hidden="1"/>
    </xf>
    <xf numFmtId="3" fontId="6" fillId="0" borderId="25" xfId="0" applyNumberFormat="1" applyFont="1" applyBorder="1" applyAlignment="1" applyProtection="1">
      <alignment horizontal="right" vertical="center"/>
      <protection hidden="1"/>
    </xf>
    <xf numFmtId="3" fontId="6" fillId="0" borderId="0" xfId="0" applyNumberFormat="1" applyFont="1" applyBorder="1" applyAlignment="1" applyProtection="1">
      <alignment horizontal="right" vertical="center"/>
      <protection hidden="1"/>
    </xf>
    <xf numFmtId="37" fontId="6" fillId="0" borderId="26" xfId="0" applyNumberFormat="1" applyFont="1" applyBorder="1" applyAlignment="1" applyProtection="1">
      <alignment horizontal="right" vertical="center"/>
      <protection hidden="1"/>
    </xf>
    <xf numFmtId="3" fontId="23" fillId="0" borderId="0" xfId="0" applyNumberFormat="1" applyFont="1" applyAlignment="1" applyProtection="1">
      <alignment horizontal="center" vertical="center"/>
      <protection hidden="1"/>
    </xf>
    <xf numFmtId="1" fontId="23" fillId="0" borderId="0" xfId="0" applyNumberFormat="1" applyFont="1" applyAlignment="1" applyProtection="1">
      <alignment horizontal="center" vertical="center"/>
      <protection hidden="1"/>
    </xf>
    <xf numFmtId="0" fontId="23" fillId="0" borderId="0" xfId="0" applyFont="1" applyAlignment="1" applyProtection="1">
      <alignment horizontal="right"/>
      <protection hidden="1"/>
    </xf>
    <xf numFmtId="3" fontId="23" fillId="0" borderId="25" xfId="0" applyNumberFormat="1" applyFont="1" applyBorder="1" applyAlignment="1" applyProtection="1">
      <alignment horizontal="right" vertical="center"/>
      <protection hidden="1"/>
    </xf>
    <xf numFmtId="3" fontId="23" fillId="0" borderId="0" xfId="0" applyNumberFormat="1" applyFont="1" applyBorder="1" applyAlignment="1" applyProtection="1">
      <alignment horizontal="right" vertical="center"/>
      <protection hidden="1"/>
    </xf>
    <xf numFmtId="37" fontId="23" fillId="0" borderId="26" xfId="0" applyNumberFormat="1" applyFont="1" applyBorder="1" applyAlignment="1" applyProtection="1">
      <alignment horizontal="right" vertical="center"/>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3" fontId="6" fillId="0" borderId="10" xfId="0" applyNumberFormat="1" applyFont="1" applyBorder="1" applyAlignment="1" applyProtection="1">
      <alignment vertical="center"/>
      <protection hidden="1"/>
    </xf>
    <xf numFmtId="1" fontId="6" fillId="0" borderId="10" xfId="0" applyNumberFormat="1" applyFont="1" applyBorder="1" applyAlignment="1" applyProtection="1">
      <alignment vertical="center"/>
      <protection hidden="1"/>
    </xf>
    <xf numFmtId="3" fontId="6" fillId="0" borderId="27" xfId="0" applyNumberFormat="1" applyFont="1" applyBorder="1" applyAlignment="1" applyProtection="1">
      <alignment vertical="center"/>
      <protection hidden="1"/>
    </xf>
    <xf numFmtId="3" fontId="6" fillId="0" borderId="10" xfId="0" applyNumberFormat="1" applyFont="1" applyBorder="1" applyAlignment="1" applyProtection="1">
      <alignment horizontal="right" vertical="center"/>
      <protection hidden="1"/>
    </xf>
    <xf numFmtId="3" fontId="6" fillId="0" borderId="10" xfId="0" applyNumberFormat="1" applyFont="1" applyBorder="1" applyAlignment="1" applyProtection="1">
      <alignment horizontal="center" vertical="center"/>
      <protection hidden="1"/>
    </xf>
    <xf numFmtId="37" fontId="0" fillId="0" borderId="10" xfId="0" applyNumberFormat="1" applyBorder="1" applyAlignment="1" applyProtection="1">
      <alignment horizontal="center" vertical="center"/>
      <protection hidden="1"/>
    </xf>
    <xf numFmtId="0" fontId="0" fillId="0" borderId="28" xfId="0" applyBorder="1" applyAlignment="1" applyProtection="1">
      <alignment vertical="center"/>
      <protection hidden="1"/>
    </xf>
    <xf numFmtId="37" fontId="6" fillId="0" borderId="0" xfId="0" applyNumberFormat="1" applyFont="1" applyAlignment="1" applyProtection="1">
      <alignment vertical="center"/>
      <protection hidden="1"/>
    </xf>
    <xf numFmtId="3" fontId="6" fillId="0" borderId="0" xfId="0" applyNumberFormat="1" applyFont="1" applyBorder="1" applyAlignment="1" applyProtection="1">
      <alignment vertical="center"/>
      <protection hidden="1"/>
    </xf>
    <xf numFmtId="3" fontId="6" fillId="0" borderId="0" xfId="0" applyNumberFormat="1" applyFont="1" applyBorder="1" applyAlignment="1" applyProtection="1">
      <alignment horizontal="centerContinuous" vertical="center"/>
      <protection hidden="1"/>
    </xf>
    <xf numFmtId="1" fontId="6" fillId="0" borderId="0" xfId="42" applyNumberFormat="1" applyFont="1" applyAlignment="1" applyProtection="1">
      <alignment horizontal="center" vertical="center"/>
      <protection hidden="1"/>
    </xf>
    <xf numFmtId="1" fontId="6" fillId="0" borderId="10" xfId="42" applyNumberFormat="1" applyFont="1" applyBorder="1" applyAlignment="1" applyProtection="1">
      <alignment horizontal="center" vertical="center"/>
      <protection hidden="1"/>
    </xf>
    <xf numFmtId="37" fontId="6" fillId="0" borderId="10" xfId="0" applyNumberFormat="1" applyFont="1" applyBorder="1" applyAlignment="1" applyProtection="1">
      <alignment vertical="center"/>
      <protection hidden="1"/>
    </xf>
    <xf numFmtId="3" fontId="6" fillId="0" borderId="27" xfId="0" applyNumberFormat="1" applyFont="1" applyBorder="1" applyAlignment="1" applyProtection="1">
      <alignment horizontal="right" vertical="center"/>
      <protection hidden="1"/>
    </xf>
    <xf numFmtId="3" fontId="6" fillId="0" borderId="10" xfId="0" applyNumberFormat="1" applyFont="1" applyBorder="1" applyAlignment="1" applyProtection="1">
      <alignment horizontal="centerContinuous" vertical="center"/>
      <protection hidden="1"/>
    </xf>
    <xf numFmtId="37" fontId="6" fillId="0" borderId="28" xfId="0" applyNumberFormat="1" applyFont="1" applyBorder="1" applyAlignment="1" applyProtection="1">
      <alignment horizontal="right" vertical="center"/>
      <protection hidden="1"/>
    </xf>
    <xf numFmtId="3" fontId="6" fillId="0" borderId="0" xfId="0" applyNumberFormat="1" applyFont="1" applyBorder="1" applyAlignment="1" applyProtection="1">
      <alignment horizontal="center" vertical="center"/>
      <protection hidden="1"/>
    </xf>
    <xf numFmtId="1" fontId="6" fillId="0" borderId="0" xfId="42" applyNumberFormat="1" applyFont="1" applyBorder="1" applyAlignment="1" applyProtection="1">
      <alignment horizontal="center" vertical="center"/>
      <protection hidden="1"/>
    </xf>
    <xf numFmtId="37" fontId="6" fillId="0" borderId="0" xfId="0" applyNumberFormat="1" applyFont="1" applyBorder="1" applyAlignment="1" applyProtection="1">
      <alignment vertical="center"/>
      <protection hidden="1"/>
    </xf>
    <xf numFmtId="3" fontId="6" fillId="0" borderId="29" xfId="0" applyNumberFormat="1" applyFont="1" applyBorder="1" applyAlignment="1" applyProtection="1">
      <alignment horizontal="right" vertical="center"/>
      <protection hidden="1"/>
    </xf>
    <xf numFmtId="3" fontId="6" fillId="0" borderId="20" xfId="0" applyNumberFormat="1" applyFont="1" applyBorder="1" applyAlignment="1" applyProtection="1">
      <alignment horizontal="centerContinuous" vertical="center"/>
      <protection hidden="1"/>
    </xf>
    <xf numFmtId="37" fontId="6" fillId="0" borderId="30" xfId="0" applyNumberFormat="1" applyFont="1" applyBorder="1" applyAlignment="1" applyProtection="1">
      <alignment horizontal="right" vertical="center"/>
      <protection hidden="1"/>
    </xf>
    <xf numFmtId="3" fontId="6" fillId="0" borderId="0" xfId="0" applyNumberFormat="1" applyFont="1" applyAlignment="1" applyProtection="1">
      <alignment horizontal="centerContinuous" vertical="center"/>
      <protection hidden="1"/>
    </xf>
    <xf numFmtId="0" fontId="7" fillId="0" borderId="0" xfId="0" applyFont="1" applyAlignment="1" applyProtection="1">
      <alignment/>
      <protection hidden="1"/>
    </xf>
    <xf numFmtId="3" fontId="6" fillId="0" borderId="10" xfId="0" applyNumberFormat="1" applyFont="1" applyBorder="1" applyAlignment="1" applyProtection="1">
      <alignment horizontal="left" vertical="center"/>
      <protection hidden="1"/>
    </xf>
    <xf numFmtId="9" fontId="6" fillId="0" borderId="10" xfId="0" applyNumberFormat="1" applyFont="1" applyBorder="1" applyAlignment="1" applyProtection="1">
      <alignment horizontal="centerContinuous" vertical="center"/>
      <protection hidden="1"/>
    </xf>
    <xf numFmtId="3" fontId="6" fillId="0" borderId="0" xfId="0" applyNumberFormat="1" applyFont="1" applyBorder="1" applyAlignment="1" applyProtection="1">
      <alignment horizontal="left" vertical="center"/>
      <protection hidden="1"/>
    </xf>
    <xf numFmtId="9" fontId="6" fillId="0" borderId="0" xfId="0" applyNumberFormat="1" applyFont="1" applyBorder="1" applyAlignment="1" applyProtection="1">
      <alignment horizontal="centerContinuous" vertical="center"/>
      <protection hidden="1"/>
    </xf>
    <xf numFmtId="3" fontId="6" fillId="0" borderId="0" xfId="0" applyNumberFormat="1" applyFont="1" applyAlignment="1" applyProtection="1">
      <alignment horizontal="left" vertical="center"/>
      <protection hidden="1"/>
    </xf>
    <xf numFmtId="9" fontId="6" fillId="0" borderId="0" xfId="0" applyNumberFormat="1" applyFont="1" applyAlignment="1" applyProtection="1">
      <alignment horizontal="centerContinuous" vertical="center"/>
      <protection hidden="1"/>
    </xf>
    <xf numFmtId="3" fontId="10" fillId="0" borderId="0" xfId="0" applyNumberFormat="1" applyFont="1" applyAlignment="1" applyProtection="1">
      <alignment horizontal="center" vertical="center"/>
      <protection hidden="1"/>
    </xf>
    <xf numFmtId="0" fontId="6" fillId="0" borderId="10" xfId="0" applyFont="1" applyBorder="1" applyAlignment="1" applyProtection="1">
      <alignment horizontal="centerContinuous"/>
      <protection hidden="1"/>
    </xf>
    <xf numFmtId="0" fontId="6" fillId="0" borderId="0" xfId="0" applyFont="1" applyAlignment="1" applyProtection="1">
      <alignment horizontal="left" vertical="center"/>
      <protection hidden="1"/>
    </xf>
    <xf numFmtId="3" fontId="6" fillId="0" borderId="31" xfId="0" applyNumberFormat="1" applyFont="1" applyBorder="1" applyAlignment="1" applyProtection="1">
      <alignment horizontal="center" vertical="center"/>
      <protection hidden="1"/>
    </xf>
    <xf numFmtId="1" fontId="6" fillId="0" borderId="0" xfId="0" applyNumberFormat="1" applyFont="1" applyAlignment="1" applyProtection="1">
      <alignment horizontal="right" vertical="center"/>
      <protection hidden="1"/>
    </xf>
    <xf numFmtId="3" fontId="6" fillId="0" borderId="21" xfId="0" applyNumberFormat="1" applyFont="1" applyBorder="1" applyAlignment="1" applyProtection="1">
      <alignment horizontal="centerContinuous" vertical="center"/>
      <protection hidden="1"/>
    </xf>
    <xf numFmtId="0" fontId="0" fillId="0" borderId="22" xfId="0" applyBorder="1" applyAlignment="1" applyProtection="1">
      <alignment horizontal="centerContinuous"/>
      <protection hidden="1"/>
    </xf>
    <xf numFmtId="3" fontId="6" fillId="0" borderId="22" xfId="0" applyNumberFormat="1" applyFont="1" applyBorder="1" applyAlignment="1" applyProtection="1">
      <alignment horizontal="centerContinuous" vertical="center"/>
      <protection hidden="1"/>
    </xf>
    <xf numFmtId="3" fontId="6" fillId="0" borderId="22" xfId="0" applyNumberFormat="1" applyFont="1" applyBorder="1" applyAlignment="1" applyProtection="1">
      <alignment horizontal="center" vertical="center"/>
      <protection hidden="1"/>
    </xf>
    <xf numFmtId="3" fontId="6" fillId="0" borderId="24" xfId="0" applyNumberFormat="1" applyFont="1" applyBorder="1" applyAlignment="1" applyProtection="1">
      <alignment horizontal="right" vertical="center"/>
      <protection hidden="1"/>
    </xf>
    <xf numFmtId="0" fontId="12" fillId="0" borderId="0" xfId="0" applyFont="1" applyAlignment="1" applyProtection="1">
      <alignment horizontal="right"/>
      <protection hidden="1"/>
    </xf>
    <xf numFmtId="3" fontId="12" fillId="0" borderId="32" xfId="0" applyNumberFormat="1" applyFont="1" applyBorder="1" applyAlignment="1" applyProtection="1">
      <alignment horizontal="center" vertical="center"/>
      <protection hidden="1"/>
    </xf>
    <xf numFmtId="3" fontId="6" fillId="0" borderId="25" xfId="0" applyNumberFormat="1" applyFont="1" applyBorder="1" applyAlignment="1" applyProtection="1">
      <alignment horizontal="centerContinuous" vertical="center"/>
      <protection hidden="1"/>
    </xf>
    <xf numFmtId="3" fontId="6" fillId="0" borderId="26" xfId="0" applyNumberFormat="1" applyFont="1" applyBorder="1" applyAlignment="1" applyProtection="1">
      <alignment horizontal="right" vertical="center"/>
      <protection hidden="1"/>
    </xf>
    <xf numFmtId="3" fontId="12" fillId="0" borderId="0" xfId="0" applyNumberFormat="1" applyFont="1" applyAlignment="1" applyProtection="1">
      <alignment horizontal="right" vertical="center"/>
      <protection hidden="1"/>
    </xf>
    <xf numFmtId="0" fontId="23" fillId="0" borderId="0" xfId="0" applyFont="1" applyAlignment="1" applyProtection="1">
      <alignment horizontal="left" vertical="center"/>
      <protection hidden="1"/>
    </xf>
    <xf numFmtId="3" fontId="25" fillId="0" borderId="32" xfId="0" applyNumberFormat="1" applyFont="1" applyBorder="1" applyAlignment="1" applyProtection="1">
      <alignment horizontal="center" vertical="center"/>
      <protection hidden="1"/>
    </xf>
    <xf numFmtId="1" fontId="25" fillId="0" borderId="0" xfId="0" applyNumberFormat="1" applyFont="1" applyAlignment="1" applyProtection="1">
      <alignment horizontal="center" vertical="center"/>
      <protection hidden="1"/>
    </xf>
    <xf numFmtId="3" fontId="23" fillId="0" borderId="0" xfId="0" applyNumberFormat="1" applyFont="1" applyAlignment="1" applyProtection="1">
      <alignment horizontal="right" vertical="center"/>
      <protection hidden="1"/>
    </xf>
    <xf numFmtId="3" fontId="23" fillId="0" borderId="25" xfId="0" applyNumberFormat="1" applyFont="1" applyBorder="1" applyAlignment="1" applyProtection="1">
      <alignment horizontal="centerContinuous" vertical="center"/>
      <protection hidden="1"/>
    </xf>
    <xf numFmtId="3" fontId="23" fillId="0" borderId="0" xfId="0" applyNumberFormat="1" applyFont="1" applyBorder="1" applyAlignment="1" applyProtection="1">
      <alignment horizontal="centerContinuous" vertical="center"/>
      <protection hidden="1"/>
    </xf>
    <xf numFmtId="3" fontId="23" fillId="0" borderId="0" xfId="0" applyNumberFormat="1" applyFont="1" applyBorder="1" applyAlignment="1" applyProtection="1">
      <alignment horizontal="center" vertical="center"/>
      <protection hidden="1"/>
    </xf>
    <xf numFmtId="3" fontId="23" fillId="0" borderId="26" xfId="0" applyNumberFormat="1" applyFont="1" applyBorder="1" applyAlignment="1" applyProtection="1">
      <alignment horizontal="right" vertical="center"/>
      <protection hidden="1"/>
    </xf>
    <xf numFmtId="3" fontId="25" fillId="0" borderId="0" xfId="0" applyNumberFormat="1" applyFont="1" applyAlignment="1" applyProtection="1">
      <alignment horizontal="right" vertical="center"/>
      <protection hidden="1"/>
    </xf>
    <xf numFmtId="3" fontId="6" fillId="0" borderId="32" xfId="0" applyNumberFormat="1" applyFont="1" applyBorder="1" applyAlignment="1" applyProtection="1">
      <alignment horizontal="center" vertical="center"/>
      <protection hidden="1"/>
    </xf>
    <xf numFmtId="3" fontId="6" fillId="0" borderId="33" xfId="0" applyNumberFormat="1" applyFont="1" applyBorder="1" applyAlignment="1" applyProtection="1">
      <alignment vertical="center"/>
      <protection hidden="1"/>
    </xf>
    <xf numFmtId="3" fontId="6" fillId="0" borderId="27" xfId="0" applyNumberFormat="1" applyFont="1" applyBorder="1" applyAlignment="1" applyProtection="1">
      <alignment horizontal="centerContinuous" vertical="center"/>
      <protection hidden="1"/>
    </xf>
    <xf numFmtId="3" fontId="6" fillId="0" borderId="28" xfId="0" applyNumberFormat="1" applyFont="1" applyBorder="1" applyAlignment="1" applyProtection="1">
      <alignment horizontal="center" vertical="center"/>
      <protection hidden="1"/>
    </xf>
    <xf numFmtId="3" fontId="6" fillId="0" borderId="32" xfId="0" applyNumberFormat="1" applyFont="1" applyBorder="1" applyAlignment="1" applyProtection="1">
      <alignment horizontal="center" vertical="center"/>
      <protection hidden="1"/>
    </xf>
    <xf numFmtId="37" fontId="6" fillId="0" borderId="0" xfId="0" applyNumberFormat="1" applyFont="1" applyAlignment="1" applyProtection="1">
      <alignment/>
      <protection hidden="1"/>
    </xf>
    <xf numFmtId="3" fontId="6" fillId="0" borderId="0" xfId="0" applyNumberFormat="1" applyFont="1" applyFill="1" applyBorder="1" applyAlignment="1" applyProtection="1">
      <alignment horizontal="centerContinuous" vertical="center"/>
      <protection hidden="1"/>
    </xf>
    <xf numFmtId="0" fontId="6" fillId="0" borderId="10" xfId="0" applyFont="1" applyBorder="1" applyAlignment="1" applyProtection="1">
      <alignment horizontal="left" vertical="center"/>
      <protection hidden="1"/>
    </xf>
    <xf numFmtId="3" fontId="6" fillId="0" borderId="33" xfId="0" applyNumberFormat="1" applyFont="1" applyBorder="1" applyAlignment="1" applyProtection="1">
      <alignment horizontal="center" vertical="center"/>
      <protection hidden="1"/>
    </xf>
    <xf numFmtId="1" fontId="6" fillId="0" borderId="10" xfId="0" applyNumberFormat="1" applyFont="1" applyBorder="1" applyAlignment="1" applyProtection="1">
      <alignment horizontal="center" vertical="center"/>
      <protection hidden="1"/>
    </xf>
    <xf numFmtId="37" fontId="6" fillId="0" borderId="10" xfId="0" applyNumberFormat="1" applyFont="1" applyBorder="1" applyAlignment="1" applyProtection="1">
      <alignment/>
      <protection hidden="1"/>
    </xf>
    <xf numFmtId="3" fontId="6" fillId="0" borderId="34"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Continuous" vertical="center"/>
      <protection hidden="1"/>
    </xf>
    <xf numFmtId="0" fontId="0" fillId="0" borderId="20" xfId="0" applyBorder="1" applyAlignment="1" applyProtection="1">
      <alignment horizontal="centerContinuous"/>
      <protection hidden="1"/>
    </xf>
    <xf numFmtId="0" fontId="6" fillId="0" borderId="0" xfId="0" applyFont="1" applyBorder="1" applyAlignment="1" applyProtection="1">
      <alignment horizontal="left" vertical="center"/>
      <protection hidden="1"/>
    </xf>
    <xf numFmtId="3" fontId="6" fillId="0" borderId="0" xfId="0" applyNumberFormat="1" applyFont="1" applyBorder="1" applyAlignment="1" applyProtection="1">
      <alignment horizontal="center" vertical="center"/>
      <protection hidden="1"/>
    </xf>
    <xf numFmtId="1" fontId="6" fillId="0" borderId="0" xfId="0" applyNumberFormat="1" applyFont="1" applyBorder="1" applyAlignment="1" applyProtection="1">
      <alignment horizontal="center" vertical="center"/>
      <protection hidden="1"/>
    </xf>
    <xf numFmtId="37" fontId="6" fillId="0" borderId="0" xfId="0" applyNumberFormat="1" applyFont="1" applyBorder="1" applyAlignment="1" applyProtection="1">
      <alignment/>
      <protection hidden="1"/>
    </xf>
    <xf numFmtId="37" fontId="6" fillId="0" borderId="0" xfId="0" applyNumberFormat="1" applyFont="1" applyBorder="1" applyAlignment="1" applyProtection="1">
      <alignment horizontal="right" vertical="center"/>
      <protection hidden="1"/>
    </xf>
    <xf numFmtId="3" fontId="10" fillId="0" borderId="0" xfId="0" applyNumberFormat="1" applyFont="1" applyBorder="1" applyAlignment="1" applyProtection="1">
      <alignment horizontal="left" vertical="center"/>
      <protection hidden="1"/>
    </xf>
    <xf numFmtId="1" fontId="7" fillId="0" borderId="0" xfId="0" applyNumberFormat="1" applyFont="1" applyBorder="1" applyAlignment="1" applyProtection="1">
      <alignment horizontal="center" vertical="center"/>
      <protection hidden="1"/>
    </xf>
    <xf numFmtId="3" fontId="7" fillId="0" borderId="0" xfId="0" applyNumberFormat="1" applyFont="1" applyBorder="1" applyAlignment="1" applyProtection="1">
      <alignment vertical="center"/>
      <protection hidden="1"/>
    </xf>
    <xf numFmtId="37" fontId="7" fillId="0" borderId="0" xfId="0" applyNumberFormat="1" applyFont="1" applyBorder="1" applyAlignment="1" applyProtection="1">
      <alignment/>
      <protection hidden="1"/>
    </xf>
    <xf numFmtId="3" fontId="7" fillId="0" borderId="0" xfId="0" applyNumberFormat="1" applyFont="1" applyBorder="1" applyAlignment="1" applyProtection="1">
      <alignment horizontal="centerContinuous" vertical="center"/>
      <protection hidden="1"/>
    </xf>
    <xf numFmtId="0" fontId="7" fillId="0" borderId="0" xfId="0" applyFont="1" applyBorder="1" applyAlignment="1" applyProtection="1">
      <alignment horizontal="centerContinuous"/>
      <protection hidden="1"/>
    </xf>
    <xf numFmtId="3" fontId="7" fillId="0" borderId="0" xfId="0" applyNumberFormat="1" applyFont="1" applyBorder="1" applyAlignment="1" applyProtection="1">
      <alignment horizontal="right" vertical="center"/>
      <protection hidden="1"/>
    </xf>
    <xf numFmtId="37" fontId="7" fillId="0" borderId="0" xfId="0" applyNumberFormat="1"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3" fontId="7" fillId="0" borderId="0" xfId="0" applyNumberFormat="1" applyFont="1" applyBorder="1" applyAlignment="1" applyProtection="1">
      <alignment horizontal="center" vertical="center"/>
      <protection hidden="1"/>
    </xf>
    <xf numFmtId="186" fontId="7" fillId="0" borderId="0" xfId="0" applyNumberFormat="1" applyFont="1" applyBorder="1" applyAlignment="1" applyProtection="1">
      <alignment horizontal="center" vertical="center"/>
      <protection hidden="1"/>
    </xf>
    <xf numFmtId="3" fontId="10" fillId="0" borderId="0" xfId="0" applyNumberFormat="1" applyFont="1" applyBorder="1" applyAlignment="1" applyProtection="1">
      <alignment horizontal="right" vertical="center"/>
      <protection hidden="1"/>
    </xf>
    <xf numFmtId="37" fontId="7" fillId="0" borderId="10" xfId="0" applyNumberFormat="1" applyFont="1" applyBorder="1" applyAlignment="1" applyProtection="1">
      <alignment horizontal="right" vertical="center"/>
      <protection hidden="1"/>
    </xf>
    <xf numFmtId="0" fontId="10" fillId="0" borderId="0" xfId="0" applyFont="1" applyAlignment="1" applyProtection="1">
      <alignment horizontal="left" vertical="center"/>
      <protection hidden="1"/>
    </xf>
    <xf numFmtId="1" fontId="7" fillId="0" borderId="0" xfId="0" applyNumberFormat="1" applyFont="1" applyAlignment="1" applyProtection="1">
      <alignment vertical="center"/>
      <protection hidden="1"/>
    </xf>
    <xf numFmtId="3" fontId="7" fillId="0" borderId="0" xfId="0" applyNumberFormat="1" applyFont="1" applyAlignment="1" applyProtection="1">
      <alignment horizontal="right" vertical="center"/>
      <protection hidden="1"/>
    </xf>
    <xf numFmtId="3" fontId="7" fillId="0" borderId="0" xfId="0" applyNumberFormat="1" applyFont="1" applyAlignment="1" applyProtection="1">
      <alignment horizontal="centerContinuous" vertical="center"/>
      <protection hidden="1"/>
    </xf>
    <xf numFmtId="37" fontId="7" fillId="0" borderId="0" xfId="0" applyNumberFormat="1" applyFont="1" applyAlignment="1" applyProtection="1">
      <alignment horizontal="right" vertical="center"/>
      <protection hidden="1"/>
    </xf>
    <xf numFmtId="6" fontId="7" fillId="0" borderId="0" xfId="0"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37" fontId="0" fillId="0" borderId="0" xfId="0" applyNumberFormat="1" applyBorder="1" applyAlignment="1" applyProtection="1">
      <alignment horizontal="right" vertical="center"/>
      <protection hidden="1"/>
    </xf>
    <xf numFmtId="170" fontId="0" fillId="0" borderId="0" xfId="0" applyNumberFormat="1" applyFill="1" applyBorder="1" applyAlignment="1" applyProtection="1">
      <alignment horizontal="left"/>
      <protection hidden="1"/>
    </xf>
    <xf numFmtId="0" fontId="8" fillId="0" borderId="21" xfId="0" applyFont="1" applyBorder="1" applyAlignment="1" applyProtection="1">
      <alignment vertical="center"/>
      <protection hidden="1"/>
    </xf>
    <xf numFmtId="37" fontId="12" fillId="0" borderId="22" xfId="0" applyNumberFormat="1" applyFont="1" applyBorder="1" applyAlignment="1" applyProtection="1">
      <alignment horizontal="center" vertical="center"/>
      <protection hidden="1"/>
    </xf>
    <xf numFmtId="0" fontId="7" fillId="0" borderId="24" xfId="0" applyFont="1" applyBorder="1" applyAlignment="1" applyProtection="1">
      <alignment vertical="center"/>
      <protection hidden="1"/>
    </xf>
    <xf numFmtId="0" fontId="7" fillId="0" borderId="29" xfId="0" applyFont="1" applyBorder="1" applyAlignment="1" applyProtection="1">
      <alignment vertical="center"/>
      <protection hidden="1"/>
    </xf>
    <xf numFmtId="0" fontId="7" fillId="0" borderId="30" xfId="0" applyFont="1" applyBorder="1" applyAlignment="1" applyProtection="1">
      <alignment vertical="center"/>
      <protection hidden="1"/>
    </xf>
    <xf numFmtId="3" fontId="7" fillId="0" borderId="29" xfId="0" applyNumberFormat="1" applyFont="1" applyBorder="1" applyAlignment="1" applyProtection="1">
      <alignment vertical="center"/>
      <protection hidden="1"/>
    </xf>
    <xf numFmtId="0" fontId="7" fillId="0" borderId="21" xfId="0" applyFont="1" applyBorder="1" applyAlignment="1" applyProtection="1">
      <alignment vertical="center"/>
      <protection hidden="1"/>
    </xf>
    <xf numFmtId="37" fontId="12" fillId="0" borderId="22" xfId="0" applyNumberFormat="1" applyFont="1" applyBorder="1" applyAlignment="1" applyProtection="1">
      <alignment horizontal="center" vertical="center"/>
      <protection hidden="1"/>
    </xf>
    <xf numFmtId="0" fontId="28" fillId="0" borderId="0" xfId="0" applyFont="1" applyFill="1" applyAlignment="1">
      <alignment/>
    </xf>
    <xf numFmtId="0" fontId="13" fillId="33" borderId="20" xfId="0" applyFont="1" applyFill="1" applyBorder="1" applyAlignment="1" applyProtection="1">
      <alignment horizontal="center" vertical="center"/>
      <protection hidden="1" locked="0"/>
    </xf>
    <xf numFmtId="3" fontId="7" fillId="33" borderId="20" xfId="0" applyNumberFormat="1" applyFont="1" applyFill="1" applyBorder="1" applyAlignment="1" applyProtection="1">
      <alignment horizontal="center" vertical="center"/>
      <protection hidden="1" locked="0"/>
    </xf>
    <xf numFmtId="9" fontId="7" fillId="33" borderId="20" xfId="0" applyNumberFormat="1" applyFont="1" applyFill="1" applyBorder="1" applyAlignment="1" applyProtection="1">
      <alignment horizontal="center" vertical="center"/>
      <protection hidden="1" locked="0"/>
    </xf>
    <xf numFmtId="1" fontId="7" fillId="33" borderId="20" xfId="0" applyNumberFormat="1" applyFont="1" applyFill="1" applyBorder="1" applyAlignment="1" applyProtection="1">
      <alignment horizontal="center" vertical="center"/>
      <protection hidden="1" locked="0"/>
    </xf>
    <xf numFmtId="37" fontId="7" fillId="33" borderId="20" xfId="0" applyNumberFormat="1" applyFont="1" applyFill="1" applyBorder="1" applyAlignment="1" applyProtection="1">
      <alignment horizontal="center" vertical="center"/>
      <protection hidden="1" locked="0"/>
    </xf>
    <xf numFmtId="10" fontId="7" fillId="33" borderId="20" xfId="0" applyNumberFormat="1" applyFont="1" applyFill="1" applyBorder="1" applyAlignment="1" applyProtection="1">
      <alignment horizontal="center" vertical="center"/>
      <protection hidden="1" locked="0"/>
    </xf>
    <xf numFmtId="166" fontId="10" fillId="34" borderId="35" xfId="0" applyNumberFormat="1" applyFont="1" applyFill="1" applyBorder="1" applyAlignment="1" applyProtection="1">
      <alignment horizontal="center" vertical="center"/>
      <protection hidden="1"/>
    </xf>
    <xf numFmtId="0" fontId="13" fillId="34" borderId="14" xfId="0" applyFont="1" applyFill="1" applyBorder="1" applyAlignment="1" applyProtection="1">
      <alignment vertical="center"/>
      <protection hidden="1"/>
    </xf>
    <xf numFmtId="0" fontId="21" fillId="34" borderId="15" xfId="0" applyFont="1" applyFill="1" applyBorder="1" applyAlignment="1" applyProtection="1">
      <alignment vertical="center"/>
      <protection hidden="1"/>
    </xf>
    <xf numFmtId="0" fontId="20" fillId="34" borderId="15" xfId="0" applyFont="1" applyFill="1" applyBorder="1" applyAlignment="1" applyProtection="1">
      <alignment vertical="center"/>
      <protection hidden="1"/>
    </xf>
    <xf numFmtId="0" fontId="7" fillId="34" borderId="36" xfId="0" applyFont="1" applyFill="1" applyBorder="1" applyAlignment="1" applyProtection="1">
      <alignment vertical="center"/>
      <protection hidden="1"/>
    </xf>
    <xf numFmtId="0" fontId="22" fillId="34" borderId="16" xfId="0" applyFont="1" applyFill="1" applyBorder="1" applyAlignment="1" applyProtection="1">
      <alignment vertical="center"/>
      <protection hidden="1"/>
    </xf>
    <xf numFmtId="0" fontId="21" fillId="34" borderId="10" xfId="0" applyFont="1" applyFill="1" applyBorder="1" applyAlignment="1" applyProtection="1">
      <alignment vertical="center"/>
      <protection hidden="1"/>
    </xf>
    <xf numFmtId="0" fontId="20" fillId="34" borderId="10" xfId="0" applyFont="1" applyFill="1" applyBorder="1" applyAlignment="1" applyProtection="1">
      <alignment vertical="center"/>
      <protection hidden="1"/>
    </xf>
    <xf numFmtId="0" fontId="7" fillId="34" borderId="13" xfId="0" applyFont="1" applyFill="1" applyBorder="1" applyAlignment="1" applyProtection="1">
      <alignment vertical="center"/>
      <protection hidden="1"/>
    </xf>
    <xf numFmtId="1" fontId="10" fillId="34" borderId="11" xfId="0" applyNumberFormat="1"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0" fillId="0" borderId="36" xfId="0" applyBorder="1" applyAlignment="1" applyProtection="1">
      <alignment/>
      <protection hidden="1"/>
    </xf>
    <xf numFmtId="3" fontId="0" fillId="0" borderId="0" xfId="0" applyNumberFormat="1" applyFill="1" applyAlignment="1" applyProtection="1">
      <alignment/>
      <protection hidden="1"/>
    </xf>
    <xf numFmtId="0" fontId="26" fillId="0" borderId="0" xfId="0" applyFont="1" applyFill="1" applyAlignment="1" applyProtection="1">
      <alignment horizontal="center"/>
      <protection hidden="1"/>
    </xf>
    <xf numFmtId="165" fontId="0" fillId="0" borderId="0" xfId="42" applyNumberFormat="1" applyFont="1" applyBorder="1" applyAlignment="1" applyProtection="1">
      <alignment horizontal="center"/>
      <protection hidden="1"/>
    </xf>
    <xf numFmtId="10" fontId="0" fillId="0" borderId="0" xfId="59" applyNumberFormat="1" applyFont="1" applyAlignment="1" applyProtection="1">
      <alignment/>
      <protection hidden="1"/>
    </xf>
    <xf numFmtId="0" fontId="4" fillId="0" borderId="0" xfId="0" applyFont="1" applyBorder="1" applyAlignment="1" applyProtection="1">
      <alignment/>
      <protection hidden="1"/>
    </xf>
    <xf numFmtId="171" fontId="0" fillId="0" borderId="0" xfId="0" applyNumberFormat="1" applyFill="1" applyAlignment="1" applyProtection="1">
      <alignment horizontal="center"/>
      <protection hidden="1"/>
    </xf>
    <xf numFmtId="10" fontId="0" fillId="0" borderId="0" xfId="0" applyNumberFormat="1" applyFont="1" applyAlignment="1" applyProtection="1">
      <alignment/>
      <protection hidden="1"/>
    </xf>
    <xf numFmtId="10" fontId="0" fillId="0" borderId="0" xfId="0" applyNumberFormat="1" applyFont="1" applyAlignment="1" applyProtection="1">
      <alignment/>
      <protection hidden="1"/>
    </xf>
    <xf numFmtId="43" fontId="0" fillId="0" borderId="0" xfId="42" applyNumberFormat="1" applyFont="1" applyAlignment="1" applyProtection="1">
      <alignment/>
      <protection hidden="1"/>
    </xf>
    <xf numFmtId="3" fontId="0" fillId="0" borderId="0" xfId="42" applyNumberFormat="1" applyFont="1" applyBorder="1" applyAlignment="1" applyProtection="1">
      <alignment/>
      <protection hidden="1"/>
    </xf>
    <xf numFmtId="37" fontId="0" fillId="0" borderId="0" xfId="0" applyNumberFormat="1" applyBorder="1" applyAlignment="1" applyProtection="1">
      <alignment/>
      <protection hidden="1"/>
    </xf>
    <xf numFmtId="37" fontId="0" fillId="0" borderId="10" xfId="0" applyNumberFormat="1" applyBorder="1" applyAlignment="1" applyProtection="1">
      <alignment/>
      <protection hidden="1"/>
    </xf>
    <xf numFmtId="191" fontId="0" fillId="0" borderId="0" xfId="0" applyNumberFormat="1" applyAlignment="1" applyProtection="1">
      <alignment horizontal="right"/>
      <protection hidden="1"/>
    </xf>
    <xf numFmtId="184" fontId="0" fillId="0" borderId="0" xfId="59" applyNumberFormat="1" applyFont="1" applyAlignment="1" applyProtection="1">
      <alignment horizontal="right"/>
      <protection hidden="1"/>
    </xf>
    <xf numFmtId="184" fontId="0" fillId="0" borderId="0" xfId="0" applyNumberFormat="1" applyAlignment="1" applyProtection="1">
      <alignment horizontal="right"/>
      <protection hidden="1"/>
    </xf>
    <xf numFmtId="184" fontId="1" fillId="0" borderId="0" xfId="0" applyNumberFormat="1" applyFont="1" applyAlignment="1" applyProtection="1">
      <alignment horizontal="right"/>
      <protection hidden="1"/>
    </xf>
    <xf numFmtId="174" fontId="0" fillId="0" borderId="0" xfId="0" applyNumberFormat="1" applyBorder="1" applyAlignment="1" applyProtection="1">
      <alignment/>
      <protection hidden="1"/>
    </xf>
    <xf numFmtId="193" fontId="0" fillId="0" borderId="0" xfId="0" applyNumberFormat="1" applyBorder="1" applyAlignment="1" applyProtection="1">
      <alignment/>
      <protection hidden="1"/>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0" fillId="0" borderId="0" xfId="0" applyAlignment="1" applyProtection="1">
      <alignment vertical="top" wrapText="1"/>
      <protection/>
    </xf>
    <xf numFmtId="10" fontId="1" fillId="0" borderId="0" xfId="0" applyNumberFormat="1" applyFont="1" applyFill="1" applyAlignment="1" applyProtection="1">
      <alignment/>
      <protection hidden="1"/>
    </xf>
    <xf numFmtId="37" fontId="1" fillId="0" borderId="0" xfId="0" applyNumberFormat="1" applyFont="1" applyAlignment="1" applyProtection="1">
      <alignment/>
      <protection hidden="1"/>
    </xf>
    <xf numFmtId="10" fontId="1" fillId="0" borderId="0" xfId="0" applyNumberFormat="1" applyFont="1" applyFill="1" applyAlignment="1" applyProtection="1">
      <alignment/>
      <protection hidden="1"/>
    </xf>
    <xf numFmtId="0" fontId="1" fillId="0" borderId="0" xfId="0" applyFont="1" applyAlignment="1">
      <alignment/>
    </xf>
    <xf numFmtId="0" fontId="0" fillId="0" borderId="0" xfId="0" applyFont="1" applyAlignment="1">
      <alignment vertical="top" wrapText="1"/>
    </xf>
    <xf numFmtId="43" fontId="0" fillId="0" borderId="0" xfId="42" applyNumberFormat="1" applyFont="1" applyAlignment="1" applyProtection="1">
      <alignment/>
      <protection hidden="1"/>
    </xf>
    <xf numFmtId="0" fontId="0" fillId="0" borderId="0" xfId="0" applyAlignment="1" applyProtection="1">
      <alignment horizontal="right"/>
      <protection hidden="1"/>
    </xf>
    <xf numFmtId="10" fontId="1" fillId="35" borderId="0" xfId="0" applyNumberFormat="1" applyFont="1" applyFill="1" applyAlignment="1" applyProtection="1">
      <alignment/>
      <protection hidden="1"/>
    </xf>
    <xf numFmtId="10" fontId="1" fillId="35" borderId="0" xfId="0" applyNumberFormat="1" applyFont="1" applyFill="1" applyAlignment="1" applyProtection="1">
      <alignment/>
      <protection hidden="1"/>
    </xf>
    <xf numFmtId="165" fontId="1" fillId="35" borderId="0" xfId="42" applyNumberFormat="1" applyFont="1" applyFill="1" applyAlignment="1" applyProtection="1">
      <alignment/>
      <protection hidden="1"/>
    </xf>
    <xf numFmtId="10" fontId="0" fillId="0" borderId="0" xfId="0" applyNumberFormat="1" applyFill="1" applyAlignment="1" applyProtection="1">
      <alignment/>
      <protection hidden="1"/>
    </xf>
    <xf numFmtId="10" fontId="1" fillId="0" borderId="0" xfId="59" applyNumberFormat="1" applyFont="1" applyAlignment="1" applyProtection="1">
      <alignment/>
      <protection hidden="1"/>
    </xf>
    <xf numFmtId="0" fontId="0" fillId="0" borderId="21" xfId="0" applyBorder="1" applyAlignment="1" applyProtection="1">
      <alignment/>
      <protection hidden="1"/>
    </xf>
    <xf numFmtId="0" fontId="0" fillId="0" borderId="24" xfId="0" applyBorder="1" applyAlignment="1" applyProtection="1">
      <alignment/>
      <protection hidden="1"/>
    </xf>
    <xf numFmtId="166" fontId="1" fillId="0" borderId="25" xfId="0" applyNumberFormat="1" applyFont="1" applyBorder="1" applyAlignment="1" applyProtection="1">
      <alignment/>
      <protection hidden="1"/>
    </xf>
    <xf numFmtId="0" fontId="0" fillId="0" borderId="26" xfId="0" applyBorder="1" applyAlignment="1" applyProtection="1">
      <alignment/>
      <protection hidden="1"/>
    </xf>
    <xf numFmtId="166" fontId="0" fillId="0" borderId="25" xfId="0" applyNumberFormat="1" applyBorder="1" applyAlignment="1" applyProtection="1">
      <alignment/>
      <protection hidden="1"/>
    </xf>
    <xf numFmtId="0" fontId="26" fillId="0" borderId="25" xfId="0" applyFont="1" applyBorder="1" applyAlignment="1" applyProtection="1">
      <alignment/>
      <protection hidden="1"/>
    </xf>
    <xf numFmtId="0" fontId="65" fillId="0" borderId="25" xfId="0" applyFont="1" applyBorder="1" applyAlignment="1" applyProtection="1">
      <alignment/>
      <protection hidden="1"/>
    </xf>
    <xf numFmtId="0" fontId="0" fillId="0" borderId="29" xfId="0" applyBorder="1" applyAlignment="1" applyProtection="1">
      <alignment/>
      <protection hidden="1"/>
    </xf>
    <xf numFmtId="0" fontId="0" fillId="0" borderId="20" xfId="0" applyBorder="1" applyAlignment="1" applyProtection="1">
      <alignment/>
      <protection hidden="1"/>
    </xf>
    <xf numFmtId="0" fontId="0" fillId="0" borderId="30" xfId="0" applyBorder="1" applyAlignment="1" applyProtection="1">
      <alignment/>
      <protection hidden="1"/>
    </xf>
    <xf numFmtId="166" fontId="0" fillId="0" borderId="25" xfId="0" applyNumberFormat="1" applyFont="1" applyBorder="1" applyAlignment="1" applyProtection="1">
      <alignment/>
      <protection hidden="1"/>
    </xf>
    <xf numFmtId="14" fontId="1" fillId="35" borderId="15" xfId="0" applyNumberFormat="1" applyFont="1" applyFill="1" applyBorder="1" applyAlignment="1" applyProtection="1">
      <alignment horizontal="center"/>
      <protection hidden="1"/>
    </xf>
    <xf numFmtId="186" fontId="1" fillId="35" borderId="0" xfId="0" applyNumberFormat="1" applyFont="1" applyFill="1" applyAlignment="1" applyProtection="1">
      <alignment horizontal="center"/>
      <protection hidden="1"/>
    </xf>
    <xf numFmtId="0" fontId="1" fillId="35" borderId="0" xfId="0" applyFont="1" applyFill="1" applyAlignment="1" applyProtection="1">
      <alignment horizontal="center"/>
      <protection hidden="1"/>
    </xf>
    <xf numFmtId="169" fontId="0" fillId="0" borderId="0" xfId="59" applyNumberFormat="1" applyFont="1" applyBorder="1" applyAlignment="1" applyProtection="1">
      <alignment/>
      <protection hidden="1"/>
    </xf>
    <xf numFmtId="0" fontId="29" fillId="0" borderId="0" xfId="53" applyBorder="1" applyAlignment="1" applyProtection="1">
      <alignment/>
      <protection hidden="1"/>
    </xf>
    <xf numFmtId="209" fontId="26" fillId="0" borderId="25" xfId="0" applyNumberFormat="1" applyFont="1" applyBorder="1" applyAlignment="1" applyProtection="1">
      <alignment horizontal="center"/>
      <protection hidden="1"/>
    </xf>
    <xf numFmtId="209" fontId="26" fillId="0" borderId="0" xfId="0" applyNumberFormat="1"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sa.gov/planners/benefitcalculators.ht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81"/>
  <sheetViews>
    <sheetView showGridLines="0" tabSelected="1" zoomScalePageLayoutView="0" workbookViewId="0" topLeftCell="A1">
      <selection activeCell="A14" sqref="A14"/>
    </sheetView>
  </sheetViews>
  <sheetFormatPr defaultColWidth="9.140625" defaultRowHeight="12.75"/>
  <cols>
    <col min="1" max="1" width="5.7109375" style="0" customWidth="1"/>
    <col min="2" max="2" width="1.8515625" style="0" customWidth="1"/>
    <col min="3" max="3" width="19.57421875" style="0" customWidth="1"/>
    <col min="4" max="4" width="52.7109375" style="0" customWidth="1"/>
    <col min="5" max="5" width="20.140625" style="0" customWidth="1"/>
  </cols>
  <sheetData>
    <row r="1" ht="15.75" customHeight="1">
      <c r="A1" s="21" t="s">
        <v>0</v>
      </c>
    </row>
    <row r="2" ht="15.75" customHeight="1">
      <c r="A2" s="22" t="s">
        <v>317</v>
      </c>
    </row>
    <row r="3" ht="6.75" customHeight="1"/>
    <row r="4" ht="13.5" customHeight="1">
      <c r="A4" s="356" t="s">
        <v>318</v>
      </c>
    </row>
    <row r="5" spans="1:3" ht="15" customHeight="1">
      <c r="A5" s="4"/>
      <c r="C5" s="313" t="s">
        <v>1</v>
      </c>
    </row>
    <row r="6" spans="1:3" ht="12" customHeight="1">
      <c r="A6" s="4"/>
      <c r="C6" s="313" t="s">
        <v>315</v>
      </c>
    </row>
    <row r="7" spans="1:3" ht="12" customHeight="1">
      <c r="A7" s="4"/>
      <c r="C7" s="313" t="s">
        <v>299</v>
      </c>
    </row>
    <row r="8" spans="1:5" ht="12" customHeight="1">
      <c r="A8" s="4"/>
      <c r="C8" s="313" t="s">
        <v>2</v>
      </c>
      <c r="E8" s="2" t="s">
        <v>3</v>
      </c>
    </row>
    <row r="9" spans="1:5" ht="18" customHeight="1">
      <c r="A9" s="25" t="s">
        <v>4</v>
      </c>
      <c r="E9" s="26" t="s">
        <v>5</v>
      </c>
    </row>
    <row r="10" ht="7.5" customHeight="1"/>
    <row r="11" ht="12.75">
      <c r="A11" s="27" t="s">
        <v>6</v>
      </c>
    </row>
    <row r="12" spans="1:5" ht="12.75">
      <c r="A12" s="12" t="s">
        <v>7</v>
      </c>
      <c r="B12" s="16"/>
      <c r="C12" s="17" t="s">
        <v>8</v>
      </c>
      <c r="D12" s="3" t="s">
        <v>9</v>
      </c>
      <c r="E12" s="3"/>
    </row>
    <row r="13" ht="6" customHeight="1"/>
    <row r="14" spans="1:5" ht="12.75">
      <c r="A14" s="15">
        <v>1</v>
      </c>
      <c r="B14" s="15"/>
      <c r="C14" s="14" t="s">
        <v>10</v>
      </c>
      <c r="D14" s="8" t="s">
        <v>11</v>
      </c>
      <c r="E14" s="1" t="s">
        <v>12</v>
      </c>
    </row>
    <row r="15" spans="1:5" ht="6" customHeight="1">
      <c r="A15" s="15"/>
      <c r="B15" s="15"/>
      <c r="C15" s="8"/>
      <c r="D15" s="8"/>
      <c r="E15" s="1"/>
    </row>
    <row r="16" spans="1:5" ht="26.25">
      <c r="A16" s="15">
        <f>A14+1</f>
        <v>2</v>
      </c>
      <c r="B16" s="15"/>
      <c r="C16" s="14" t="s">
        <v>13</v>
      </c>
      <c r="D16" s="8" t="s">
        <v>14</v>
      </c>
      <c r="E16" s="1" t="s">
        <v>12</v>
      </c>
    </row>
    <row r="17" spans="1:5" ht="6" customHeight="1">
      <c r="A17" s="15"/>
      <c r="B17" s="15"/>
      <c r="C17" s="8"/>
      <c r="D17" s="8"/>
      <c r="E17" s="1"/>
    </row>
    <row r="18" spans="1:5" ht="26.25">
      <c r="A18" s="15">
        <f>A16+1</f>
        <v>3</v>
      </c>
      <c r="B18" s="15"/>
      <c r="C18" s="14" t="s">
        <v>15</v>
      </c>
      <c r="D18" s="8" t="s">
        <v>16</v>
      </c>
      <c r="E18" s="1" t="s">
        <v>17</v>
      </c>
    </row>
    <row r="19" spans="1:5" ht="6" customHeight="1">
      <c r="A19" s="15"/>
      <c r="B19" s="15"/>
      <c r="C19" s="8"/>
      <c r="D19" s="8"/>
      <c r="E19" s="1"/>
    </row>
    <row r="20" spans="1:5" ht="26.25">
      <c r="A20" s="15">
        <f>A18+1</f>
        <v>4</v>
      </c>
      <c r="B20" s="15"/>
      <c r="C20" s="14" t="s">
        <v>18</v>
      </c>
      <c r="D20" s="8" t="s">
        <v>19</v>
      </c>
      <c r="E20" s="1" t="s">
        <v>20</v>
      </c>
    </row>
    <row r="21" spans="1:5" ht="6" customHeight="1">
      <c r="A21" s="15"/>
      <c r="B21" s="15"/>
      <c r="C21" s="8"/>
      <c r="D21" s="8"/>
      <c r="E21" s="1"/>
    </row>
    <row r="22" spans="1:5" ht="12.75">
      <c r="A22" s="11"/>
      <c r="B22" s="19" t="s">
        <v>21</v>
      </c>
      <c r="C22" s="8"/>
      <c r="D22" s="8"/>
      <c r="E22" s="1"/>
    </row>
    <row r="23" spans="1:4" ht="12.75">
      <c r="A23" s="11"/>
      <c r="B23" s="11"/>
      <c r="C23" s="8"/>
      <c r="D23" s="8"/>
    </row>
    <row r="24" spans="1:4" ht="12.75">
      <c r="A24" s="8"/>
      <c r="B24" s="8"/>
      <c r="C24" s="8"/>
      <c r="D24" s="8"/>
    </row>
    <row r="25" spans="1:4" ht="12.75">
      <c r="A25" s="8"/>
      <c r="B25" s="8"/>
      <c r="C25" s="8"/>
      <c r="D25" s="8"/>
    </row>
    <row r="26" spans="1:4" ht="12.75">
      <c r="A26" s="8"/>
      <c r="B26" s="8"/>
      <c r="C26" s="8"/>
      <c r="D26" s="8"/>
    </row>
    <row r="27" spans="1:4" ht="12.75">
      <c r="A27" s="8"/>
      <c r="B27" s="8"/>
      <c r="C27" s="8"/>
      <c r="D27" s="8"/>
    </row>
    <row r="28" spans="1:4" ht="12.75">
      <c r="A28" s="8"/>
      <c r="B28" s="8"/>
      <c r="C28" s="8"/>
      <c r="D28" s="8"/>
    </row>
    <row r="29" spans="1:4" ht="12.75">
      <c r="A29" s="8"/>
      <c r="B29" s="8"/>
      <c r="C29" s="8"/>
      <c r="D29" s="8"/>
    </row>
    <row r="30" spans="1:4" ht="12.75">
      <c r="A30" s="8"/>
      <c r="B30" s="8"/>
      <c r="C30" s="8"/>
      <c r="D30" s="8"/>
    </row>
    <row r="31" spans="1:4" ht="12.75">
      <c r="A31" s="8"/>
      <c r="B31" s="8"/>
      <c r="C31" s="8"/>
      <c r="D31" s="8"/>
    </row>
    <row r="32" spans="1:4" ht="12.75">
      <c r="A32" s="8"/>
      <c r="B32" s="8"/>
      <c r="C32" s="8"/>
      <c r="D32" s="8"/>
    </row>
    <row r="33" spans="1:4" ht="12.75">
      <c r="A33" s="8"/>
      <c r="B33" s="8"/>
      <c r="C33" s="8"/>
      <c r="D33" s="8"/>
    </row>
    <row r="34" spans="1:4" ht="12.75">
      <c r="A34" s="8"/>
      <c r="B34" s="8"/>
      <c r="C34" s="8"/>
      <c r="D34" s="8"/>
    </row>
    <row r="35" spans="1:4" ht="12.75">
      <c r="A35" s="8"/>
      <c r="B35" s="8"/>
      <c r="C35" s="8"/>
      <c r="D35" s="8"/>
    </row>
    <row r="36" spans="1:4" ht="12.75">
      <c r="A36" s="8"/>
      <c r="B36" s="8"/>
      <c r="C36" s="8"/>
      <c r="D36" s="8"/>
    </row>
    <row r="37" spans="1:4" ht="12.75">
      <c r="A37" s="8"/>
      <c r="B37" s="8"/>
      <c r="C37" s="8"/>
      <c r="D37" s="8"/>
    </row>
    <row r="38" spans="1:4" ht="12.75">
      <c r="A38" s="8"/>
      <c r="B38" s="8"/>
      <c r="C38" s="8"/>
      <c r="D38" s="8"/>
    </row>
    <row r="39" spans="1:4" ht="12.75">
      <c r="A39" s="8"/>
      <c r="B39" s="8"/>
      <c r="C39" s="8"/>
      <c r="D39" s="8"/>
    </row>
    <row r="40" spans="1:4" ht="12.75">
      <c r="A40" s="8"/>
      <c r="B40" s="8"/>
      <c r="C40" s="8"/>
      <c r="D40" s="8"/>
    </row>
    <row r="41" spans="1:4" ht="12.75">
      <c r="A41" s="8"/>
      <c r="B41" s="8"/>
      <c r="C41" s="8"/>
      <c r="D41" s="8"/>
    </row>
    <row r="42" spans="1:4" ht="12.75">
      <c r="A42" s="8"/>
      <c r="B42" s="8"/>
      <c r="C42" s="8"/>
      <c r="D42" s="8"/>
    </row>
    <row r="43" spans="1:4" ht="12.75">
      <c r="A43" s="8"/>
      <c r="B43" s="8"/>
      <c r="C43" s="8"/>
      <c r="D43" s="8"/>
    </row>
    <row r="44" spans="1:4" ht="12.75">
      <c r="A44" s="8"/>
      <c r="B44" s="8"/>
      <c r="C44" s="8"/>
      <c r="D44" s="8"/>
    </row>
    <row r="45" spans="1:4" ht="12.75">
      <c r="A45" s="8"/>
      <c r="B45" s="8"/>
      <c r="C45" s="8"/>
      <c r="D45" s="8"/>
    </row>
    <row r="46" spans="1:4" ht="12.75">
      <c r="A46" s="8"/>
      <c r="B46" s="8"/>
      <c r="C46" s="8"/>
      <c r="D46" s="8"/>
    </row>
    <row r="47" spans="1:4" ht="12.75">
      <c r="A47" s="8"/>
      <c r="B47" s="8"/>
      <c r="C47" s="8"/>
      <c r="D47" s="8"/>
    </row>
    <row r="48" spans="1:4" ht="12.75">
      <c r="A48" s="8"/>
      <c r="B48" s="8"/>
      <c r="C48" s="8"/>
      <c r="D48" s="8"/>
    </row>
    <row r="49" spans="1:4" ht="12.75">
      <c r="A49" s="8"/>
      <c r="B49" s="8"/>
      <c r="C49" s="8"/>
      <c r="D49" s="8"/>
    </row>
    <row r="50" spans="1:4" ht="12.75">
      <c r="A50" s="8"/>
      <c r="B50" s="8"/>
      <c r="C50" s="8"/>
      <c r="D50" s="8"/>
    </row>
    <row r="51" spans="1:4" ht="12.75">
      <c r="A51" s="8"/>
      <c r="B51" s="8"/>
      <c r="C51" s="8"/>
      <c r="D51" s="8"/>
    </row>
    <row r="52" spans="1:4" ht="12.75">
      <c r="A52" s="8"/>
      <c r="B52" s="8"/>
      <c r="C52" s="8"/>
      <c r="D52" s="8"/>
    </row>
    <row r="53" spans="1:4" ht="12.75">
      <c r="A53" s="8"/>
      <c r="B53" s="8"/>
      <c r="C53" s="8"/>
      <c r="D53" s="8"/>
    </row>
    <row r="54" spans="1:4" ht="12.75">
      <c r="A54" s="8"/>
      <c r="B54" s="8"/>
      <c r="C54" s="8"/>
      <c r="D54" s="8"/>
    </row>
    <row r="55" spans="1:4" ht="12.75">
      <c r="A55" s="8"/>
      <c r="B55" s="8"/>
      <c r="C55" s="8"/>
      <c r="D55" s="8"/>
    </row>
    <row r="56" spans="1:4" ht="12.75">
      <c r="A56" s="8"/>
      <c r="B56" s="8"/>
      <c r="C56" s="8"/>
      <c r="D56" s="8"/>
    </row>
    <row r="57" spans="1:4" ht="12.75">
      <c r="A57" s="8"/>
      <c r="B57" s="8"/>
      <c r="C57" s="8"/>
      <c r="D57" s="8"/>
    </row>
    <row r="58" spans="1:4" ht="12.75">
      <c r="A58" s="8"/>
      <c r="B58" s="8"/>
      <c r="C58" s="8"/>
      <c r="D58" s="8"/>
    </row>
    <row r="59" spans="1:4" ht="12.75">
      <c r="A59" s="8"/>
      <c r="B59" s="8"/>
      <c r="C59" s="8"/>
      <c r="D59" s="8"/>
    </row>
    <row r="60" spans="1:4" ht="12.75">
      <c r="A60" s="8"/>
      <c r="B60" s="8"/>
      <c r="C60" s="8"/>
      <c r="D60" s="8"/>
    </row>
    <row r="61" spans="1:4" ht="12.75">
      <c r="A61" s="8"/>
      <c r="B61" s="8"/>
      <c r="C61" s="8"/>
      <c r="D61" s="8"/>
    </row>
    <row r="62" spans="1:4" ht="12.75">
      <c r="A62" s="8"/>
      <c r="B62" s="8"/>
      <c r="C62" s="8"/>
      <c r="D62" s="8"/>
    </row>
    <row r="63" spans="1:4" ht="12.75">
      <c r="A63" s="8"/>
      <c r="B63" s="8"/>
      <c r="C63" s="8"/>
      <c r="D63" s="8"/>
    </row>
    <row r="64" spans="1:4" ht="12.75">
      <c r="A64" s="8"/>
      <c r="B64" s="8"/>
      <c r="C64" s="8"/>
      <c r="D64" s="8"/>
    </row>
    <row r="65" spans="1:4" ht="12.75">
      <c r="A65" s="8"/>
      <c r="B65" s="8"/>
      <c r="C65" s="8"/>
      <c r="D65" s="8"/>
    </row>
    <row r="66" spans="1:4" ht="12.75">
      <c r="A66" s="8"/>
      <c r="B66" s="8"/>
      <c r="C66" s="8"/>
      <c r="D66" s="8"/>
    </row>
    <row r="67" spans="1:4" ht="12.75">
      <c r="A67" s="8"/>
      <c r="B67" s="8"/>
      <c r="C67" s="8"/>
      <c r="D67" s="8"/>
    </row>
    <row r="68" spans="1:4" ht="12.75">
      <c r="A68" s="8"/>
      <c r="B68" s="8"/>
      <c r="C68" s="8"/>
      <c r="D68" s="8"/>
    </row>
    <row r="69" spans="1:4" ht="12.75">
      <c r="A69" s="8"/>
      <c r="B69" s="8"/>
      <c r="C69" s="8"/>
      <c r="D69" s="8"/>
    </row>
    <row r="70" spans="1:4" ht="12.75">
      <c r="A70" s="8"/>
      <c r="B70" s="8"/>
      <c r="C70" s="8"/>
      <c r="D70" s="8"/>
    </row>
    <row r="71" spans="1:4" ht="12.75">
      <c r="A71" s="8"/>
      <c r="B71" s="8"/>
      <c r="C71" s="8"/>
      <c r="D71" s="8"/>
    </row>
    <row r="72" spans="1:4" ht="12.75">
      <c r="A72" s="8"/>
      <c r="B72" s="8"/>
      <c r="C72" s="8"/>
      <c r="D72" s="8"/>
    </row>
    <row r="73" spans="1:4" ht="12.75">
      <c r="A73" s="8"/>
      <c r="B73" s="8"/>
      <c r="C73" s="8"/>
      <c r="D73" s="8"/>
    </row>
    <row r="74" spans="1:4" ht="12.75">
      <c r="A74" s="8"/>
      <c r="B74" s="8"/>
      <c r="C74" s="8"/>
      <c r="D74" s="8"/>
    </row>
    <row r="75" spans="1:4" ht="12.75">
      <c r="A75" s="8"/>
      <c r="B75" s="8"/>
      <c r="C75" s="8"/>
      <c r="D75" s="8"/>
    </row>
    <row r="76" spans="1:4" ht="12.75">
      <c r="A76" s="8"/>
      <c r="B76" s="8"/>
      <c r="C76" s="8"/>
      <c r="D76" s="8"/>
    </row>
    <row r="77" spans="1:4" ht="12.75">
      <c r="A77" s="8"/>
      <c r="B77" s="8"/>
      <c r="C77" s="8"/>
      <c r="D77" s="8"/>
    </row>
    <row r="78" spans="1:4" ht="12.75">
      <c r="A78" s="8"/>
      <c r="B78" s="8"/>
      <c r="C78" s="8"/>
      <c r="D78" s="8"/>
    </row>
    <row r="79" spans="1:4" ht="12.75">
      <c r="A79" s="8"/>
      <c r="B79" s="8"/>
      <c r="C79" s="8"/>
      <c r="D79" s="8"/>
    </row>
    <row r="80" spans="1:4" ht="12.75">
      <c r="A80" s="8"/>
      <c r="B80" s="8"/>
      <c r="C80" s="8"/>
      <c r="D80" s="8"/>
    </row>
    <row r="81" spans="1:4" ht="12.75">
      <c r="A81" s="8"/>
      <c r="B81" s="8"/>
      <c r="C81" s="8"/>
      <c r="D81" s="8"/>
    </row>
    <row r="82" spans="1:4" ht="12.75">
      <c r="A82" s="8"/>
      <c r="B82" s="8"/>
      <c r="C82" s="8"/>
      <c r="D82" s="8"/>
    </row>
    <row r="83" spans="1:4" ht="12.75">
      <c r="A83" s="8"/>
      <c r="B83" s="8"/>
      <c r="C83" s="8"/>
      <c r="D83" s="8"/>
    </row>
    <row r="84" spans="1:4" ht="12.75">
      <c r="A84" s="8"/>
      <c r="B84" s="8"/>
      <c r="C84" s="8"/>
      <c r="D84" s="8"/>
    </row>
    <row r="85" spans="1:4" ht="12.75">
      <c r="A85" s="8"/>
      <c r="B85" s="8"/>
      <c r="C85" s="8"/>
      <c r="D85" s="8"/>
    </row>
    <row r="86" spans="1:4" ht="12.75">
      <c r="A86" s="8"/>
      <c r="B86" s="8"/>
      <c r="C86" s="8"/>
      <c r="D86" s="8"/>
    </row>
    <row r="87" spans="1:4" ht="12.75">
      <c r="A87" s="8"/>
      <c r="B87" s="8"/>
      <c r="C87" s="8"/>
      <c r="D87" s="8"/>
    </row>
    <row r="88" spans="1:4" ht="12.75">
      <c r="A88" s="8"/>
      <c r="B88" s="8"/>
      <c r="C88" s="8"/>
      <c r="D88" s="8"/>
    </row>
    <row r="89" spans="1:4" ht="12.75">
      <c r="A89" s="8"/>
      <c r="B89" s="8"/>
      <c r="C89" s="8"/>
      <c r="D89" s="8"/>
    </row>
    <row r="90" spans="1:4" ht="12.75">
      <c r="A90" s="8"/>
      <c r="B90" s="8"/>
      <c r="C90" s="8"/>
      <c r="D90" s="8"/>
    </row>
    <row r="91" spans="1:4" ht="12.75">
      <c r="A91" s="8"/>
      <c r="B91" s="8"/>
      <c r="C91" s="8"/>
      <c r="D91" s="8"/>
    </row>
    <row r="92" spans="1:4" ht="12.75">
      <c r="A92" s="8"/>
      <c r="B92" s="8"/>
      <c r="C92" s="8"/>
      <c r="D92" s="8"/>
    </row>
    <row r="93" spans="1:4" ht="12.75">
      <c r="A93" s="8"/>
      <c r="B93" s="8"/>
      <c r="C93" s="8"/>
      <c r="D93" s="8"/>
    </row>
    <row r="94" spans="1:4" ht="12.75">
      <c r="A94" s="8"/>
      <c r="B94" s="8"/>
      <c r="C94" s="8"/>
      <c r="D94" s="8"/>
    </row>
    <row r="95" spans="1:4" ht="12.75">
      <c r="A95" s="8"/>
      <c r="B95" s="8"/>
      <c r="C95" s="8"/>
      <c r="D95" s="8"/>
    </row>
    <row r="96" spans="1:4" ht="12.75">
      <c r="A96" s="8"/>
      <c r="B96" s="8"/>
      <c r="C96" s="8"/>
      <c r="D96" s="8"/>
    </row>
    <row r="97" spans="1:4" ht="12.75">
      <c r="A97" s="8"/>
      <c r="B97" s="8"/>
      <c r="C97" s="8"/>
      <c r="D97" s="8"/>
    </row>
    <row r="98" spans="1:4" ht="12.75">
      <c r="A98" s="8"/>
      <c r="B98" s="8"/>
      <c r="C98" s="8"/>
      <c r="D98" s="8"/>
    </row>
    <row r="99" spans="1:4" ht="12.75">
      <c r="A99" s="8"/>
      <c r="B99" s="8"/>
      <c r="C99" s="8"/>
      <c r="D99" s="8"/>
    </row>
    <row r="100" spans="1:4" ht="12.75">
      <c r="A100" s="8"/>
      <c r="B100" s="8"/>
      <c r="C100" s="8"/>
      <c r="D100" s="8"/>
    </row>
    <row r="101" spans="1:4" ht="12.75">
      <c r="A101" s="8"/>
      <c r="B101" s="8"/>
      <c r="C101" s="8"/>
      <c r="D101" s="8"/>
    </row>
    <row r="102" spans="1:4" ht="12.75">
      <c r="A102" s="8"/>
      <c r="B102" s="8"/>
      <c r="C102" s="8"/>
      <c r="D102" s="8"/>
    </row>
    <row r="103" spans="1:4" ht="12.75">
      <c r="A103" s="8"/>
      <c r="B103" s="8"/>
      <c r="C103" s="8"/>
      <c r="D103" s="8"/>
    </row>
    <row r="104" spans="1:4" ht="12.75">
      <c r="A104" s="8"/>
      <c r="B104" s="8"/>
      <c r="C104" s="8"/>
      <c r="D104" s="8"/>
    </row>
    <row r="105" spans="1:4" ht="12.75">
      <c r="A105" s="8"/>
      <c r="B105" s="8"/>
      <c r="C105" s="8"/>
      <c r="D105" s="8"/>
    </row>
    <row r="106" spans="1:4" ht="12.75">
      <c r="A106" s="8"/>
      <c r="B106" s="8"/>
      <c r="C106" s="8"/>
      <c r="D106" s="8"/>
    </row>
    <row r="107" spans="1:4" ht="12.75">
      <c r="A107" s="8"/>
      <c r="B107" s="8"/>
      <c r="C107" s="8"/>
      <c r="D107" s="8"/>
    </row>
    <row r="108" spans="1:4" ht="12.75">
      <c r="A108" s="8"/>
      <c r="B108" s="8"/>
      <c r="C108" s="8"/>
      <c r="D108" s="8"/>
    </row>
    <row r="109" spans="1:4" ht="12.75">
      <c r="A109" s="8"/>
      <c r="B109" s="8"/>
      <c r="C109" s="8"/>
      <c r="D109" s="8"/>
    </row>
    <row r="110" spans="1:4" ht="12.75">
      <c r="A110" s="8"/>
      <c r="B110" s="8"/>
      <c r="C110" s="8"/>
      <c r="D110" s="8"/>
    </row>
    <row r="111" spans="1:4" ht="12.75">
      <c r="A111" s="8"/>
      <c r="B111" s="8"/>
      <c r="C111" s="8"/>
      <c r="D111" s="8"/>
    </row>
    <row r="112" spans="1:4" ht="12.75">
      <c r="A112" s="8"/>
      <c r="B112" s="8"/>
      <c r="C112" s="8"/>
      <c r="D112" s="8"/>
    </row>
    <row r="113" spans="1:4" ht="12.75">
      <c r="A113" s="8"/>
      <c r="B113" s="8"/>
      <c r="C113" s="8"/>
      <c r="D113" s="8"/>
    </row>
    <row r="114" spans="1:4" ht="12.75">
      <c r="A114" s="8"/>
      <c r="B114" s="8"/>
      <c r="C114" s="8"/>
      <c r="D114" s="8"/>
    </row>
    <row r="115" spans="1:4" ht="12.75">
      <c r="A115" s="8"/>
      <c r="B115" s="8"/>
      <c r="C115" s="8"/>
      <c r="D115" s="8"/>
    </row>
    <row r="116" spans="1:4" ht="12.75">
      <c r="A116" s="8"/>
      <c r="B116" s="8"/>
      <c r="C116" s="8"/>
      <c r="D116" s="8"/>
    </row>
    <row r="117" spans="1:4" ht="12.75">
      <c r="A117" s="8"/>
      <c r="B117" s="8"/>
      <c r="C117" s="8"/>
      <c r="D117" s="8"/>
    </row>
    <row r="118" spans="1:4" ht="12.75">
      <c r="A118" s="8"/>
      <c r="B118" s="8"/>
      <c r="C118" s="8"/>
      <c r="D118" s="8"/>
    </row>
    <row r="119" spans="1:4" ht="12.75">
      <c r="A119" s="8"/>
      <c r="B119" s="8"/>
      <c r="C119" s="8"/>
      <c r="D119" s="8"/>
    </row>
    <row r="120" spans="1:4" ht="12.75">
      <c r="A120" s="8"/>
      <c r="B120" s="8"/>
      <c r="C120" s="8"/>
      <c r="D120" s="8"/>
    </row>
    <row r="121" spans="1:4" ht="12.75">
      <c r="A121" s="8"/>
      <c r="B121" s="8"/>
      <c r="C121" s="8"/>
      <c r="D121" s="8"/>
    </row>
    <row r="122" spans="1:4" ht="12.75">
      <c r="A122" s="8"/>
      <c r="B122" s="8"/>
      <c r="C122" s="8"/>
      <c r="D122" s="8"/>
    </row>
    <row r="123" spans="1:4" ht="12.75">
      <c r="A123" s="8"/>
      <c r="B123" s="8"/>
      <c r="C123" s="8"/>
      <c r="D123" s="8"/>
    </row>
    <row r="124" spans="1:4" ht="12.75">
      <c r="A124" s="8"/>
      <c r="B124" s="8"/>
      <c r="C124" s="8"/>
      <c r="D124" s="8"/>
    </row>
    <row r="125" spans="1:4" ht="12.75">
      <c r="A125" s="8"/>
      <c r="B125" s="8"/>
      <c r="C125" s="8"/>
      <c r="D125" s="8"/>
    </row>
    <row r="126" spans="1:4" ht="12.75">
      <c r="A126" s="8"/>
      <c r="B126" s="8"/>
      <c r="C126" s="8"/>
      <c r="D126" s="8"/>
    </row>
    <row r="127" spans="1:4" ht="12.75">
      <c r="A127" s="8"/>
      <c r="B127" s="8"/>
      <c r="C127" s="8"/>
      <c r="D127" s="8"/>
    </row>
    <row r="128" spans="1:4" ht="12.75">
      <c r="A128" s="8"/>
      <c r="B128" s="8"/>
      <c r="C128" s="8"/>
      <c r="D128" s="8"/>
    </row>
    <row r="129" spans="1:4" ht="12.75">
      <c r="A129" s="8"/>
      <c r="B129" s="8"/>
      <c r="C129" s="8"/>
      <c r="D129" s="8"/>
    </row>
    <row r="130" spans="1:4" ht="12.75">
      <c r="A130" s="8"/>
      <c r="B130" s="8"/>
      <c r="C130" s="8"/>
      <c r="D130" s="8"/>
    </row>
    <row r="131" spans="1:4" ht="12.75">
      <c r="A131" s="8"/>
      <c r="B131" s="8"/>
      <c r="C131" s="8"/>
      <c r="D131" s="8"/>
    </row>
    <row r="132" spans="1:4" ht="12.75">
      <c r="A132" s="8"/>
      <c r="B132" s="8"/>
      <c r="C132" s="8"/>
      <c r="D132" s="8"/>
    </row>
    <row r="133" spans="1:4" ht="12.75">
      <c r="A133" s="8"/>
      <c r="B133" s="8"/>
      <c r="C133" s="8"/>
      <c r="D133" s="8"/>
    </row>
    <row r="134" spans="1:4" ht="12.75">
      <c r="A134" s="8"/>
      <c r="B134" s="8"/>
      <c r="C134" s="8"/>
      <c r="D134" s="8"/>
    </row>
    <row r="135" spans="1:4" ht="12.75">
      <c r="A135" s="8"/>
      <c r="B135" s="8"/>
      <c r="C135" s="8"/>
      <c r="D135" s="8"/>
    </row>
    <row r="136" spans="1:4" ht="12.75">
      <c r="A136" s="8"/>
      <c r="B136" s="8"/>
      <c r="C136" s="8"/>
      <c r="D136" s="8"/>
    </row>
    <row r="137" spans="1:4" ht="12.75">
      <c r="A137" s="8"/>
      <c r="B137" s="8"/>
      <c r="C137" s="8"/>
      <c r="D137" s="8"/>
    </row>
    <row r="138" spans="1:4" ht="12.75">
      <c r="A138" s="8"/>
      <c r="B138" s="8"/>
      <c r="C138" s="8"/>
      <c r="D138" s="8"/>
    </row>
    <row r="139" spans="1:4" ht="12.75">
      <c r="A139" s="8"/>
      <c r="B139" s="8"/>
      <c r="C139" s="8"/>
      <c r="D139" s="8"/>
    </row>
    <row r="140" spans="1:4" ht="12.75">
      <c r="A140" s="8"/>
      <c r="B140" s="8"/>
      <c r="C140" s="8"/>
      <c r="D140" s="8"/>
    </row>
    <row r="141" spans="1:4" ht="12.75">
      <c r="A141" s="8"/>
      <c r="B141" s="8"/>
      <c r="C141" s="8"/>
      <c r="D141" s="8"/>
    </row>
    <row r="142" spans="1:4" ht="12.75">
      <c r="A142" s="8"/>
      <c r="B142" s="8"/>
      <c r="C142" s="8"/>
      <c r="D142" s="8"/>
    </row>
    <row r="143" spans="1:4" ht="12.75">
      <c r="A143" s="8"/>
      <c r="B143" s="8"/>
      <c r="C143" s="8"/>
      <c r="D143" s="8"/>
    </row>
    <row r="144" spans="1:4" ht="12.75">
      <c r="A144" s="8"/>
      <c r="B144" s="8"/>
      <c r="C144" s="8"/>
      <c r="D144" s="8"/>
    </row>
    <row r="145" spans="1:4" ht="12.75">
      <c r="A145" s="8"/>
      <c r="B145" s="8"/>
      <c r="C145" s="8"/>
      <c r="D145" s="8"/>
    </row>
    <row r="146" spans="1:4" ht="12.75">
      <c r="A146" s="8"/>
      <c r="B146" s="8"/>
      <c r="C146" s="8"/>
      <c r="D146" s="8"/>
    </row>
    <row r="147" spans="1:4" ht="12.75">
      <c r="A147" s="8"/>
      <c r="B147" s="8"/>
      <c r="C147" s="8"/>
      <c r="D147" s="8"/>
    </row>
    <row r="148" spans="1:4" ht="12.75">
      <c r="A148" s="8"/>
      <c r="B148" s="8"/>
      <c r="C148" s="8"/>
      <c r="D148" s="8"/>
    </row>
    <row r="149" spans="1:4" ht="12.75">
      <c r="A149" s="8"/>
      <c r="B149" s="8"/>
      <c r="C149" s="8"/>
      <c r="D149" s="8"/>
    </row>
    <row r="150" spans="1:4" ht="12.75">
      <c r="A150" s="8"/>
      <c r="B150" s="8"/>
      <c r="C150" s="8"/>
      <c r="D150" s="8"/>
    </row>
    <row r="151" spans="1:4" ht="12.75">
      <c r="A151" s="8"/>
      <c r="B151" s="8"/>
      <c r="C151" s="8"/>
      <c r="D151" s="8"/>
    </row>
    <row r="152" spans="1:4" ht="12.75">
      <c r="A152" s="8"/>
      <c r="B152" s="8"/>
      <c r="C152" s="8"/>
      <c r="D152" s="8"/>
    </row>
    <row r="153" spans="1:4" ht="12.75">
      <c r="A153" s="8"/>
      <c r="B153" s="8"/>
      <c r="C153" s="8"/>
      <c r="D153" s="8"/>
    </row>
    <row r="154" spans="1:4" ht="12.75">
      <c r="A154" s="8"/>
      <c r="B154" s="8"/>
      <c r="C154" s="8"/>
      <c r="D154" s="8"/>
    </row>
    <row r="155" spans="1:4" ht="12.75">
      <c r="A155" s="8"/>
      <c r="B155" s="8"/>
      <c r="C155" s="8"/>
      <c r="D155" s="8"/>
    </row>
    <row r="156" spans="1:4" ht="12.75">
      <c r="A156" s="8"/>
      <c r="B156" s="8"/>
      <c r="C156" s="8"/>
      <c r="D156" s="8"/>
    </row>
    <row r="157" spans="1:4" ht="12.75">
      <c r="A157" s="8"/>
      <c r="B157" s="8"/>
      <c r="C157" s="8"/>
      <c r="D157" s="8"/>
    </row>
    <row r="158" spans="1:4" ht="12.75">
      <c r="A158" s="8"/>
      <c r="B158" s="8"/>
      <c r="C158" s="8"/>
      <c r="D158" s="8"/>
    </row>
    <row r="159" spans="1:4" ht="12.75">
      <c r="A159" s="8"/>
      <c r="B159" s="8"/>
      <c r="C159" s="8"/>
      <c r="D159" s="8"/>
    </row>
    <row r="160" spans="1:4" ht="12.75">
      <c r="A160" s="8"/>
      <c r="B160" s="8"/>
      <c r="C160" s="8"/>
      <c r="D160" s="8"/>
    </row>
    <row r="161" spans="1:4" ht="12.75">
      <c r="A161" s="8"/>
      <c r="B161" s="8"/>
      <c r="C161" s="8"/>
      <c r="D161" s="8"/>
    </row>
    <row r="162" spans="1:4" ht="12.75">
      <c r="A162" s="8"/>
      <c r="B162" s="8"/>
      <c r="C162" s="8"/>
      <c r="D162" s="8"/>
    </row>
    <row r="163" spans="1:4" ht="12.75">
      <c r="A163" s="8"/>
      <c r="B163" s="8"/>
      <c r="C163" s="8"/>
      <c r="D163" s="8"/>
    </row>
    <row r="164" spans="1:4" ht="12.75">
      <c r="A164" s="8"/>
      <c r="B164" s="8"/>
      <c r="C164" s="8"/>
      <c r="D164" s="8"/>
    </row>
    <row r="165" spans="1:4" ht="12.75">
      <c r="A165" s="8"/>
      <c r="B165" s="8"/>
      <c r="C165" s="8"/>
      <c r="D165" s="8"/>
    </row>
    <row r="166" spans="1:4" ht="12.75">
      <c r="A166" s="8"/>
      <c r="B166" s="8"/>
      <c r="C166" s="8"/>
      <c r="D166" s="8"/>
    </row>
    <row r="167" spans="1:4" ht="12.75">
      <c r="A167" s="8"/>
      <c r="B167" s="8"/>
      <c r="C167" s="8"/>
      <c r="D167" s="8"/>
    </row>
    <row r="168" spans="1:4" ht="12.75">
      <c r="A168" s="8"/>
      <c r="B168" s="8"/>
      <c r="C168" s="8"/>
      <c r="D168" s="8"/>
    </row>
    <row r="169" spans="1:4" ht="12.75">
      <c r="A169" s="8"/>
      <c r="B169" s="8"/>
      <c r="C169" s="8"/>
      <c r="D169" s="8"/>
    </row>
    <row r="170" spans="1:4" ht="12.75">
      <c r="A170" s="8"/>
      <c r="B170" s="8"/>
      <c r="C170" s="8"/>
      <c r="D170" s="8"/>
    </row>
    <row r="171" spans="1:4" ht="12.75">
      <c r="A171" s="8"/>
      <c r="B171" s="8"/>
      <c r="C171" s="8"/>
      <c r="D171" s="8"/>
    </row>
    <row r="172" spans="1:4" ht="12.75">
      <c r="A172" s="8"/>
      <c r="B172" s="8"/>
      <c r="C172" s="8"/>
      <c r="D172" s="8"/>
    </row>
    <row r="173" spans="1:4" ht="12.75">
      <c r="A173" s="8"/>
      <c r="B173" s="8"/>
      <c r="C173" s="8"/>
      <c r="D173" s="8"/>
    </row>
    <row r="174" spans="1:4" ht="12.75">
      <c r="A174" s="8"/>
      <c r="B174" s="8"/>
      <c r="C174" s="8"/>
      <c r="D174" s="8"/>
    </row>
    <row r="175" spans="1:4" ht="12.75">
      <c r="A175" s="8"/>
      <c r="B175" s="8"/>
      <c r="C175" s="8"/>
      <c r="D175" s="8"/>
    </row>
    <row r="176" spans="1:4" ht="12.75">
      <c r="A176" s="8"/>
      <c r="B176" s="8"/>
      <c r="C176" s="8"/>
      <c r="D176" s="8"/>
    </row>
    <row r="177" spans="1:4" ht="12.75">
      <c r="A177" s="8"/>
      <c r="B177" s="8"/>
      <c r="C177" s="8"/>
      <c r="D177" s="8"/>
    </row>
    <row r="178" spans="1:4" ht="12.75">
      <c r="A178" s="8"/>
      <c r="B178" s="8"/>
      <c r="C178" s="8"/>
      <c r="D178" s="8"/>
    </row>
    <row r="179" spans="1:4" ht="12.75">
      <c r="A179" s="8"/>
      <c r="B179" s="8"/>
      <c r="C179" s="8"/>
      <c r="D179" s="8"/>
    </row>
    <row r="180" spans="1:4" ht="12.75">
      <c r="A180" s="8"/>
      <c r="B180" s="8"/>
      <c r="C180" s="8"/>
      <c r="D180" s="8"/>
    </row>
    <row r="181" ht="12.75">
      <c r="D181" s="8"/>
    </row>
  </sheetData>
  <sheetProtection password="CC0D" sheet="1"/>
  <printOptions/>
  <pageMargins left="0" right="0" top="1" bottom="1" header="0.5" footer="0.5"/>
  <pageSetup horizontalDpi="300" verticalDpi="3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J463"/>
  <sheetViews>
    <sheetView showGridLines="0" zoomScalePageLayoutView="0" workbookViewId="0" topLeftCell="A1">
      <selection activeCell="A1" sqref="A1"/>
    </sheetView>
  </sheetViews>
  <sheetFormatPr defaultColWidth="9.140625" defaultRowHeight="12.75"/>
  <cols>
    <col min="1" max="1" width="6.421875" style="0" customWidth="1"/>
    <col min="2" max="2" width="70.28125" style="0" customWidth="1"/>
  </cols>
  <sheetData>
    <row r="1" ht="17.25">
      <c r="A1" s="23" t="str">
        <f>title1</f>
        <v>Retirement  Management  Services, LLC</v>
      </c>
    </row>
    <row r="2" ht="17.25">
      <c r="A2" s="24" t="str">
        <f>Title2</f>
        <v>Retirement  Savings  Calculator,  Version  24.1   (Release 12-11-2023)</v>
      </c>
    </row>
    <row r="3" ht="6.75" customHeight="1"/>
    <row r="4" ht="17.25">
      <c r="A4" s="25" t="s">
        <v>22</v>
      </c>
    </row>
    <row r="6" ht="12.75">
      <c r="A6" s="20" t="s">
        <v>23</v>
      </c>
    </row>
    <row r="8" spans="1:2" ht="26.25">
      <c r="A8" s="8">
        <v>1.01</v>
      </c>
      <c r="B8" s="14" t="s">
        <v>24</v>
      </c>
    </row>
    <row r="10" spans="1:10" ht="39">
      <c r="A10" s="5">
        <f>A8+0.01</f>
        <v>1.02</v>
      </c>
      <c r="B10" s="18" t="s">
        <v>25</v>
      </c>
      <c r="C10" s="10"/>
      <c r="D10" s="10"/>
      <c r="E10" s="10"/>
      <c r="F10" s="10"/>
      <c r="G10" s="10"/>
      <c r="H10" s="10"/>
      <c r="I10" s="9"/>
      <c r="J10" s="7"/>
    </row>
    <row r="11" spans="1:5" ht="12.75">
      <c r="A11" s="5"/>
      <c r="B11" s="9"/>
      <c r="C11" s="9"/>
      <c r="D11" s="9"/>
      <c r="E11" s="9"/>
    </row>
    <row r="12" spans="1:5" ht="39">
      <c r="A12" s="5">
        <f>A10+0.01</f>
        <v>1.03</v>
      </c>
      <c r="B12" s="357" t="s">
        <v>319</v>
      </c>
      <c r="C12" s="9"/>
      <c r="D12" s="9"/>
      <c r="E12" s="9"/>
    </row>
    <row r="13" spans="1:5" ht="12.75">
      <c r="A13" s="5"/>
      <c r="B13" s="9"/>
      <c r="C13" s="9"/>
      <c r="D13" s="9"/>
      <c r="E13" s="9"/>
    </row>
    <row r="14" spans="1:5" ht="39">
      <c r="A14" s="5">
        <f>A12+0.01</f>
        <v>1.04</v>
      </c>
      <c r="B14" s="9" t="s">
        <v>26</v>
      </c>
      <c r="C14" s="9"/>
      <c r="D14" s="9"/>
      <c r="E14" s="9"/>
    </row>
    <row r="15" spans="1:5" ht="12.75">
      <c r="A15" s="5"/>
      <c r="B15" s="9"/>
      <c r="C15" s="9"/>
      <c r="D15" s="9"/>
      <c r="E15" s="9"/>
    </row>
    <row r="16" spans="1:5" ht="39">
      <c r="A16" s="5">
        <f>A14+0.01</f>
        <v>1.05</v>
      </c>
      <c r="B16" s="352" t="s">
        <v>311</v>
      </c>
      <c r="C16" s="9"/>
      <c r="D16" s="9"/>
      <c r="E16" s="9"/>
    </row>
    <row r="17" spans="1:5" ht="12.75">
      <c r="A17" s="5"/>
      <c r="B17" s="9"/>
      <c r="C17" s="9"/>
      <c r="D17" s="9"/>
      <c r="E17" s="9"/>
    </row>
    <row r="18" spans="1:5" ht="39">
      <c r="A18" s="5">
        <f>A16+0.01</f>
        <v>1.06</v>
      </c>
      <c r="B18" s="9" t="s">
        <v>27</v>
      </c>
      <c r="C18" s="9"/>
      <c r="D18" s="9"/>
      <c r="E18" s="9"/>
    </row>
    <row r="19" spans="1:5" ht="12.75">
      <c r="A19" s="5"/>
      <c r="B19" s="9"/>
      <c r="C19" s="9"/>
      <c r="D19" s="9"/>
      <c r="E19" s="9"/>
    </row>
    <row r="20" spans="1:5" ht="39">
      <c r="A20" s="5">
        <f>A18+0.01</f>
        <v>1.07</v>
      </c>
      <c r="B20" s="9" t="s">
        <v>28</v>
      </c>
      <c r="C20" s="9"/>
      <c r="D20" s="9"/>
      <c r="E20" s="9"/>
    </row>
    <row r="21" spans="1:5" ht="39">
      <c r="A21" s="5"/>
      <c r="B21" s="9" t="s">
        <v>29</v>
      </c>
      <c r="C21" s="9"/>
      <c r="D21" s="9"/>
      <c r="E21" s="9"/>
    </row>
    <row r="22" spans="1:5" ht="26.25">
      <c r="A22" s="5"/>
      <c r="B22" s="9" t="s">
        <v>30</v>
      </c>
      <c r="C22" s="9"/>
      <c r="D22" s="9"/>
      <c r="E22" s="9"/>
    </row>
    <row r="23" spans="1:5" ht="12.75">
      <c r="A23" s="5"/>
      <c r="B23" s="9"/>
      <c r="C23" s="9"/>
      <c r="D23" s="9"/>
      <c r="E23" s="9"/>
    </row>
    <row r="24" spans="1:5" ht="26.25">
      <c r="A24" s="5">
        <f>A20+0.01</f>
        <v>1.08</v>
      </c>
      <c r="B24" s="9" t="s">
        <v>31</v>
      </c>
      <c r="C24" s="9"/>
      <c r="D24" s="9"/>
      <c r="E24" s="9"/>
    </row>
    <row r="25" spans="1:5" ht="12.75">
      <c r="A25" s="5"/>
      <c r="B25" s="9" t="s">
        <v>32</v>
      </c>
      <c r="C25" s="9"/>
      <c r="D25" s="9"/>
      <c r="E25" s="9"/>
    </row>
    <row r="26" spans="1:5" ht="12.75">
      <c r="A26" s="5"/>
      <c r="B26" s="9" t="s">
        <v>33</v>
      </c>
      <c r="C26" s="9"/>
      <c r="D26" s="9"/>
      <c r="E26" s="9"/>
    </row>
    <row r="27" spans="1:5" ht="12.75">
      <c r="A27" s="5"/>
      <c r="B27" s="9" t="s">
        <v>34</v>
      </c>
      <c r="C27" s="9"/>
      <c r="D27" s="9"/>
      <c r="E27" s="9"/>
    </row>
    <row r="28" spans="1:5" ht="12.75">
      <c r="A28" s="5"/>
      <c r="B28" s="9" t="s">
        <v>35</v>
      </c>
      <c r="C28" s="9"/>
      <c r="D28" s="9"/>
      <c r="E28" s="9"/>
    </row>
    <row r="29" spans="1:5" ht="12.75">
      <c r="A29" s="5"/>
      <c r="B29" s="9" t="s">
        <v>36</v>
      </c>
      <c r="C29" s="9"/>
      <c r="D29" s="9"/>
      <c r="E29" s="9"/>
    </row>
    <row r="30" spans="1:5" ht="12.75">
      <c r="A30" s="5"/>
      <c r="B30" s="9" t="s">
        <v>37</v>
      </c>
      <c r="C30" s="9"/>
      <c r="D30" s="9"/>
      <c r="E30" s="9"/>
    </row>
    <row r="31" spans="1:5" ht="26.25">
      <c r="A31" s="5"/>
      <c r="B31" s="9" t="s">
        <v>38</v>
      </c>
      <c r="C31" s="9"/>
      <c r="D31" s="9"/>
      <c r="E31" s="9"/>
    </row>
    <row r="32" spans="1:5" ht="12.75">
      <c r="A32" s="5"/>
      <c r="B32" s="9"/>
      <c r="C32" s="9"/>
      <c r="D32" s="9"/>
      <c r="E32" s="9"/>
    </row>
    <row r="33" spans="1:5" ht="39.75" customHeight="1">
      <c r="A33" s="5">
        <f>A24+0.01</f>
        <v>1.09</v>
      </c>
      <c r="B33" s="9" t="s">
        <v>39</v>
      </c>
      <c r="C33" s="9"/>
      <c r="D33" s="9"/>
      <c r="E33" s="9"/>
    </row>
    <row r="34" spans="1:5" ht="12.75">
      <c r="A34" s="5"/>
      <c r="B34" s="9" t="s">
        <v>40</v>
      </c>
      <c r="C34" s="9"/>
      <c r="D34" s="9"/>
      <c r="E34" s="9"/>
    </row>
    <row r="35" spans="1:5" ht="26.25">
      <c r="A35" s="5"/>
      <c r="B35" s="9" t="s">
        <v>41</v>
      </c>
      <c r="C35" s="9"/>
      <c r="D35" s="9"/>
      <c r="E35" s="9"/>
    </row>
    <row r="36" spans="1:5" ht="12.75">
      <c r="A36" s="5"/>
      <c r="B36" s="9"/>
      <c r="C36" s="9"/>
      <c r="D36" s="9"/>
      <c r="E36" s="9"/>
    </row>
    <row r="37" spans="1:5" ht="12.75">
      <c r="A37" s="5">
        <f>A33+0.01</f>
        <v>1.1</v>
      </c>
      <c r="B37" s="9" t="s">
        <v>42</v>
      </c>
      <c r="C37" s="9"/>
      <c r="D37" s="9"/>
      <c r="E37" s="9"/>
    </row>
    <row r="38" spans="1:5" ht="12.75">
      <c r="A38" s="5"/>
      <c r="B38" s="9" t="s">
        <v>43</v>
      </c>
      <c r="C38" s="9"/>
      <c r="D38" s="9"/>
      <c r="E38" s="9"/>
    </row>
    <row r="39" spans="1:5" ht="26.25">
      <c r="A39" s="5"/>
      <c r="B39" s="9" t="s">
        <v>44</v>
      </c>
      <c r="C39" s="9"/>
      <c r="D39" s="9"/>
      <c r="E39" s="9"/>
    </row>
    <row r="40" spans="1:5" ht="26.25">
      <c r="A40" s="5"/>
      <c r="B40" s="9" t="s">
        <v>45</v>
      </c>
      <c r="C40" s="9"/>
      <c r="D40" s="9"/>
      <c r="E40" s="9"/>
    </row>
    <row r="41" spans="1:5" ht="12.75">
      <c r="A41" s="5"/>
      <c r="B41" s="9"/>
      <c r="C41" s="9"/>
      <c r="D41" s="9"/>
      <c r="E41" s="9"/>
    </row>
    <row r="42" spans="1:5" ht="26.25">
      <c r="A42" s="5">
        <f>A37+0.01</f>
        <v>1.11</v>
      </c>
      <c r="B42" s="9" t="s">
        <v>297</v>
      </c>
      <c r="C42" s="9"/>
      <c r="D42" s="9"/>
      <c r="E42" s="9"/>
    </row>
    <row r="43" spans="1:5" ht="12.75">
      <c r="A43" s="5">
        <f>A42+0.01</f>
        <v>1.12</v>
      </c>
      <c r="B43" s="9" t="s">
        <v>46</v>
      </c>
      <c r="C43" s="9"/>
      <c r="D43" s="9"/>
      <c r="E43" s="9"/>
    </row>
    <row r="44" spans="1:5" ht="12.75">
      <c r="A44" s="5"/>
      <c r="B44" s="9"/>
      <c r="C44" s="9"/>
      <c r="D44" s="9"/>
      <c r="E44" s="9"/>
    </row>
    <row r="45" spans="1:5" ht="26.25">
      <c r="A45" s="5">
        <f>A43+0.01</f>
        <v>1.1300000000000001</v>
      </c>
      <c r="B45" s="9" t="s">
        <v>47</v>
      </c>
      <c r="C45" s="9"/>
      <c r="D45" s="9"/>
      <c r="E45" s="9"/>
    </row>
    <row r="46" spans="1:5" ht="39">
      <c r="A46" s="5"/>
      <c r="B46" s="9" t="s">
        <v>48</v>
      </c>
      <c r="C46" s="9"/>
      <c r="D46" s="9"/>
      <c r="E46" s="9"/>
    </row>
    <row r="47" spans="1:5" ht="12.75">
      <c r="A47" s="5"/>
      <c r="B47" s="9"/>
      <c r="C47" s="9"/>
      <c r="D47" s="9"/>
      <c r="E47" s="9"/>
    </row>
    <row r="48" spans="1:5" ht="12.75">
      <c r="A48" s="5"/>
      <c r="B48" s="9"/>
      <c r="C48" s="9"/>
      <c r="D48" s="9"/>
      <c r="E48" s="9"/>
    </row>
    <row r="49" spans="1:5" ht="12.75">
      <c r="A49" s="5"/>
      <c r="B49" s="18" t="s">
        <v>21</v>
      </c>
      <c r="C49" s="9"/>
      <c r="D49" s="9"/>
      <c r="E49" s="9"/>
    </row>
    <row r="50" spans="1:5" ht="12.75">
      <c r="A50" s="5"/>
      <c r="B50" s="9"/>
      <c r="C50" s="9"/>
      <c r="D50" s="9"/>
      <c r="E50" s="9"/>
    </row>
    <row r="51" spans="1:5" ht="12.75">
      <c r="A51" s="5"/>
      <c r="B51" s="9"/>
      <c r="C51" s="9"/>
      <c r="D51" s="9"/>
      <c r="E51" s="9"/>
    </row>
    <row r="52" spans="1:5" ht="12.75">
      <c r="A52" s="5"/>
      <c r="B52" s="9"/>
      <c r="C52" s="9"/>
      <c r="D52" s="9"/>
      <c r="E52" s="9"/>
    </row>
    <row r="53" spans="1:5" ht="12.75">
      <c r="A53" s="5"/>
      <c r="B53" s="9"/>
      <c r="C53" s="9"/>
      <c r="D53" s="9"/>
      <c r="E53" s="9"/>
    </row>
    <row r="54" spans="1:5" ht="12.75">
      <c r="A54" s="5"/>
      <c r="B54" s="9"/>
      <c r="C54" s="9"/>
      <c r="D54" s="9"/>
      <c r="E54" s="9"/>
    </row>
    <row r="55" spans="1:5" ht="12.75">
      <c r="A55" s="5"/>
      <c r="B55" s="9"/>
      <c r="C55" s="9"/>
      <c r="D55" s="9"/>
      <c r="E55" s="9"/>
    </row>
    <row r="56" spans="1:5" ht="12.75">
      <c r="A56" s="5"/>
      <c r="B56" s="9"/>
      <c r="C56" s="9"/>
      <c r="D56" s="9"/>
      <c r="E56" s="9"/>
    </row>
    <row r="57" spans="1:5" ht="12.75">
      <c r="A57" s="5"/>
      <c r="B57" s="9"/>
      <c r="C57" s="9"/>
      <c r="D57" s="9"/>
      <c r="E57" s="9"/>
    </row>
    <row r="58" spans="1:5" ht="12.75">
      <c r="A58" s="5"/>
      <c r="B58" s="9"/>
      <c r="C58" s="9"/>
      <c r="D58" s="9"/>
      <c r="E58" s="9"/>
    </row>
    <row r="59" spans="1:5" ht="12.75">
      <c r="A59" s="5"/>
      <c r="B59" s="9"/>
      <c r="C59" s="9"/>
      <c r="D59" s="9"/>
      <c r="E59" s="9"/>
    </row>
    <row r="60" spans="1:5" ht="12.75">
      <c r="A60" s="5"/>
      <c r="B60" s="9"/>
      <c r="C60" s="9"/>
      <c r="D60" s="9"/>
      <c r="E60" s="9"/>
    </row>
    <row r="61" spans="1:5" ht="12.75">
      <c r="A61" s="5"/>
      <c r="B61" s="9"/>
      <c r="C61" s="9"/>
      <c r="D61" s="9"/>
      <c r="E61" s="9"/>
    </row>
    <row r="62" spans="1:5" ht="12.75">
      <c r="A62" s="5"/>
      <c r="B62" s="9"/>
      <c r="C62" s="9"/>
      <c r="D62" s="9"/>
      <c r="E62" s="9"/>
    </row>
    <row r="63" spans="1:5" ht="12.75">
      <c r="A63" s="5"/>
      <c r="B63" s="9"/>
      <c r="C63" s="9"/>
      <c r="D63" s="9"/>
      <c r="E63" s="9"/>
    </row>
    <row r="64" spans="1:5" ht="12.75">
      <c r="A64" s="5"/>
      <c r="B64" s="9"/>
      <c r="C64" s="9"/>
      <c r="D64" s="9"/>
      <c r="E64" s="9"/>
    </row>
    <row r="65" spans="1:5" ht="12.75">
      <c r="A65" s="5"/>
      <c r="B65" s="9"/>
      <c r="C65" s="9"/>
      <c r="D65" s="9"/>
      <c r="E65" s="9"/>
    </row>
    <row r="66" spans="1:5" ht="12.75">
      <c r="A66" s="5"/>
      <c r="B66" s="9"/>
      <c r="C66" s="9"/>
      <c r="D66" s="9"/>
      <c r="E66" s="9"/>
    </row>
    <row r="67" spans="1:5" ht="12.75">
      <c r="A67" s="5"/>
      <c r="B67" s="9"/>
      <c r="C67" s="9"/>
      <c r="D67" s="9"/>
      <c r="E67" s="9"/>
    </row>
    <row r="68" spans="1:5" ht="12.75">
      <c r="A68" s="5"/>
      <c r="B68" s="9"/>
      <c r="C68" s="9"/>
      <c r="D68" s="9"/>
      <c r="E68" s="9"/>
    </row>
    <row r="69" spans="1:5" ht="12.75">
      <c r="A69" s="5"/>
      <c r="B69" s="9"/>
      <c r="C69" s="9"/>
      <c r="D69" s="9"/>
      <c r="E69" s="9"/>
    </row>
    <row r="70" spans="1:5" ht="12.75">
      <c r="A70" s="5"/>
      <c r="B70" s="9"/>
      <c r="C70" s="9"/>
      <c r="D70" s="9"/>
      <c r="E70" s="9"/>
    </row>
    <row r="71" spans="1:5" ht="12.75">
      <c r="A71" s="5"/>
      <c r="B71" s="9"/>
      <c r="C71" s="9"/>
      <c r="D71" s="9"/>
      <c r="E71" s="9"/>
    </row>
    <row r="72" spans="1:5" ht="12.75">
      <c r="A72" s="5"/>
      <c r="B72" s="9"/>
      <c r="C72" s="9"/>
      <c r="D72" s="9"/>
      <c r="E72" s="9"/>
    </row>
    <row r="73" spans="1:5" ht="12.75">
      <c r="A73" s="5"/>
      <c r="B73" s="9"/>
      <c r="C73" s="9"/>
      <c r="D73" s="9"/>
      <c r="E73" s="9"/>
    </row>
    <row r="74" spans="1:5" ht="12.75">
      <c r="A74" s="5"/>
      <c r="B74" s="9"/>
      <c r="C74" s="9"/>
      <c r="D74" s="9"/>
      <c r="E74" s="9"/>
    </row>
    <row r="75" spans="1:5" ht="12.75">
      <c r="A75" s="5"/>
      <c r="B75" s="9"/>
      <c r="C75" s="9"/>
      <c r="D75" s="9"/>
      <c r="E75" s="9"/>
    </row>
    <row r="76" spans="1:5" ht="12.75">
      <c r="A76" s="5"/>
      <c r="B76" s="9"/>
      <c r="C76" s="9"/>
      <c r="D76" s="9"/>
      <c r="E76" s="9"/>
    </row>
    <row r="77" spans="1:5" ht="12.75">
      <c r="A77" s="5"/>
      <c r="B77" s="9"/>
      <c r="C77" s="9"/>
      <c r="D77" s="9"/>
      <c r="E77" s="9"/>
    </row>
    <row r="78" spans="1:5" ht="12.75">
      <c r="A78" s="5"/>
      <c r="B78" s="9"/>
      <c r="C78" s="9"/>
      <c r="D78" s="9"/>
      <c r="E78" s="9"/>
    </row>
    <row r="79" spans="1:5" ht="12.75">
      <c r="A79" s="5"/>
      <c r="B79" s="9"/>
      <c r="C79" s="9"/>
      <c r="D79" s="9"/>
      <c r="E79" s="9"/>
    </row>
    <row r="80" spans="1:5" ht="12.75">
      <c r="A80" s="5"/>
      <c r="B80" s="9"/>
      <c r="C80" s="9"/>
      <c r="D80" s="9"/>
      <c r="E80" s="9"/>
    </row>
    <row r="81" spans="1:5" ht="12.75">
      <c r="A81" s="5"/>
      <c r="B81" s="9"/>
      <c r="C81" s="9"/>
      <c r="D81" s="9"/>
      <c r="E81" s="9"/>
    </row>
    <row r="82" spans="1:5" ht="12.75">
      <c r="A82" s="5"/>
      <c r="B82" s="9"/>
      <c r="C82" s="9"/>
      <c r="D82" s="9"/>
      <c r="E82" s="9"/>
    </row>
    <row r="83" spans="1:5" ht="12.75">
      <c r="A83" s="5"/>
      <c r="B83" s="9"/>
      <c r="C83" s="9"/>
      <c r="D83" s="9"/>
      <c r="E83" s="9"/>
    </row>
    <row r="84" spans="1:5" ht="12.75">
      <c r="A84" s="5"/>
      <c r="B84" s="9"/>
      <c r="C84" s="9"/>
      <c r="D84" s="9"/>
      <c r="E84" s="9"/>
    </row>
    <row r="85" spans="1:5" ht="12.75">
      <c r="A85" s="5"/>
      <c r="B85" s="9"/>
      <c r="C85" s="9"/>
      <c r="D85" s="9"/>
      <c r="E85" s="9"/>
    </row>
    <row r="86" spans="1:5" ht="12.75">
      <c r="A86" s="5"/>
      <c r="B86" s="9"/>
      <c r="C86" s="9"/>
      <c r="D86" s="9"/>
      <c r="E86" s="9"/>
    </row>
    <row r="87" spans="1:5" ht="12.75">
      <c r="A87" s="5"/>
      <c r="B87" s="9"/>
      <c r="C87" s="9"/>
      <c r="D87" s="9"/>
      <c r="E87" s="9"/>
    </row>
    <row r="88" spans="1:5" ht="12.75">
      <c r="A88" s="5"/>
      <c r="B88" s="9"/>
      <c r="C88" s="9"/>
      <c r="D88" s="9"/>
      <c r="E88" s="9"/>
    </row>
    <row r="89" spans="1:5" ht="12.75">
      <c r="A89" s="5"/>
      <c r="B89" s="9"/>
      <c r="C89" s="9"/>
      <c r="D89" s="9"/>
      <c r="E89" s="9"/>
    </row>
    <row r="90" spans="1:5" ht="12.75">
      <c r="A90" s="5"/>
      <c r="B90" s="9"/>
      <c r="C90" s="9"/>
      <c r="D90" s="9"/>
      <c r="E90" s="9"/>
    </row>
    <row r="91" spans="1:5" ht="12.75">
      <c r="A91" s="5"/>
      <c r="B91" s="9"/>
      <c r="C91" s="9"/>
      <c r="D91" s="9"/>
      <c r="E91" s="9"/>
    </row>
    <row r="92" spans="1:5" ht="12.75">
      <c r="A92" s="5"/>
      <c r="B92" s="9"/>
      <c r="C92" s="9"/>
      <c r="D92" s="9"/>
      <c r="E92" s="9"/>
    </row>
    <row r="93" spans="1:5" ht="12.75">
      <c r="A93" s="5"/>
      <c r="B93" s="9"/>
      <c r="C93" s="9"/>
      <c r="D93" s="9"/>
      <c r="E93" s="9"/>
    </row>
    <row r="94" spans="1:5" ht="12.75">
      <c r="A94" s="5"/>
      <c r="B94" s="9"/>
      <c r="C94" s="9"/>
      <c r="D94" s="9"/>
      <c r="E94" s="9"/>
    </row>
    <row r="95" spans="1:5" ht="12.75">
      <c r="A95" s="5"/>
      <c r="B95" s="9"/>
      <c r="C95" s="9"/>
      <c r="D95" s="9"/>
      <c r="E95" s="9"/>
    </row>
    <row r="96" spans="1:5" ht="12.75">
      <c r="A96" s="5"/>
      <c r="B96" s="9"/>
      <c r="C96" s="9"/>
      <c r="D96" s="9"/>
      <c r="E96" s="9"/>
    </row>
    <row r="97" spans="1:5" ht="12.75">
      <c r="A97" s="5"/>
      <c r="B97" s="9"/>
      <c r="C97" s="9"/>
      <c r="D97" s="9"/>
      <c r="E97" s="9"/>
    </row>
    <row r="98" spans="1:5" ht="12.75">
      <c r="A98" s="5"/>
      <c r="B98" s="9"/>
      <c r="C98" s="9"/>
      <c r="D98" s="9"/>
      <c r="E98" s="9"/>
    </row>
    <row r="99" spans="1:5" ht="12.75">
      <c r="A99" s="5"/>
      <c r="B99" s="9"/>
      <c r="C99" s="9"/>
      <c r="D99" s="9"/>
      <c r="E99" s="9"/>
    </row>
    <row r="100" spans="1:5" ht="12.75">
      <c r="A100" s="5"/>
      <c r="B100" s="9"/>
      <c r="C100" s="9"/>
      <c r="D100" s="9"/>
      <c r="E100" s="9"/>
    </row>
    <row r="101" spans="1:5" ht="12.75">
      <c r="A101" s="5"/>
      <c r="B101" s="9"/>
      <c r="C101" s="9"/>
      <c r="D101" s="9"/>
      <c r="E101" s="9"/>
    </row>
    <row r="102" spans="1:5" ht="12.75">
      <c r="A102" s="5"/>
      <c r="B102" s="9"/>
      <c r="C102" s="9"/>
      <c r="D102" s="9"/>
      <c r="E102" s="9"/>
    </row>
    <row r="103" spans="1:5" ht="12.75">
      <c r="A103" s="5"/>
      <c r="B103" s="9"/>
      <c r="C103" s="9"/>
      <c r="D103" s="9"/>
      <c r="E103" s="9"/>
    </row>
    <row r="104" spans="1:5" ht="12.75">
      <c r="A104" s="5"/>
      <c r="B104" s="9"/>
      <c r="C104" s="9"/>
      <c r="D104" s="9"/>
      <c r="E104" s="9"/>
    </row>
    <row r="105" spans="1:5" ht="12.75">
      <c r="A105" s="5"/>
      <c r="B105" s="9"/>
      <c r="C105" s="9"/>
      <c r="D105" s="9"/>
      <c r="E105" s="9"/>
    </row>
    <row r="106" spans="1:5" ht="12.75">
      <c r="A106" s="5"/>
      <c r="B106" s="9"/>
      <c r="C106" s="9"/>
      <c r="D106" s="9"/>
      <c r="E106" s="9"/>
    </row>
    <row r="107" spans="1:5" ht="12.75">
      <c r="A107" s="5"/>
      <c r="B107" s="9"/>
      <c r="C107" s="9"/>
      <c r="D107" s="9"/>
      <c r="E107" s="9"/>
    </row>
    <row r="108" spans="1:5" ht="12.75">
      <c r="A108" s="5"/>
      <c r="B108" s="9"/>
      <c r="C108" s="9"/>
      <c r="D108" s="9"/>
      <c r="E108" s="9"/>
    </row>
    <row r="109" spans="1:5" ht="12.75">
      <c r="A109" s="5"/>
      <c r="B109" s="9"/>
      <c r="C109" s="9"/>
      <c r="D109" s="9"/>
      <c r="E109" s="9"/>
    </row>
    <row r="110" spans="1:5" ht="12.75">
      <c r="A110" s="5"/>
      <c r="B110" s="9"/>
      <c r="C110" s="9"/>
      <c r="D110" s="9"/>
      <c r="E110" s="9"/>
    </row>
    <row r="111" spans="1:5" ht="12.75">
      <c r="A111" s="5"/>
      <c r="B111" s="9"/>
      <c r="C111" s="9"/>
      <c r="D111" s="9"/>
      <c r="E111" s="9"/>
    </row>
    <row r="112" spans="1:5" ht="12.75">
      <c r="A112" s="5"/>
      <c r="B112" s="9"/>
      <c r="C112" s="9"/>
      <c r="D112" s="9"/>
      <c r="E112" s="9"/>
    </row>
    <row r="113" spans="1:5" ht="12.75">
      <c r="A113" s="5"/>
      <c r="B113" s="9"/>
      <c r="C113" s="9"/>
      <c r="D113" s="9"/>
      <c r="E113" s="9"/>
    </row>
    <row r="114" spans="1:5" ht="12.75">
      <c r="A114" s="5"/>
      <c r="B114" s="9"/>
      <c r="C114" s="9"/>
      <c r="D114" s="9"/>
      <c r="E114" s="9"/>
    </row>
    <row r="115" spans="1:5" ht="12.75">
      <c r="A115" s="5"/>
      <c r="B115" s="9"/>
      <c r="C115" s="9"/>
      <c r="D115" s="9"/>
      <c r="E115" s="9"/>
    </row>
    <row r="116" spans="1:5" ht="12.75">
      <c r="A116" s="5"/>
      <c r="B116" s="9"/>
      <c r="C116" s="9"/>
      <c r="D116" s="9"/>
      <c r="E116" s="9"/>
    </row>
    <row r="117" spans="1:5" ht="12.75">
      <c r="A117" s="5"/>
      <c r="B117" s="9"/>
      <c r="C117" s="9"/>
      <c r="D117" s="9"/>
      <c r="E117" s="9"/>
    </row>
    <row r="118" spans="1:5" ht="12.75">
      <c r="A118" s="5"/>
      <c r="B118" s="9"/>
      <c r="C118" s="9"/>
      <c r="D118" s="9"/>
      <c r="E118" s="9"/>
    </row>
    <row r="119" spans="1:5" ht="12.75">
      <c r="A119" s="5"/>
      <c r="B119" s="9"/>
      <c r="C119" s="9"/>
      <c r="D119" s="9"/>
      <c r="E119" s="9"/>
    </row>
    <row r="120" spans="1:5" ht="12.75">
      <c r="A120" s="5"/>
      <c r="B120" s="9"/>
      <c r="C120" s="9"/>
      <c r="D120" s="9"/>
      <c r="E120" s="9"/>
    </row>
    <row r="121" spans="1:5" ht="12.75">
      <c r="A121" s="5"/>
      <c r="B121" s="9"/>
      <c r="C121" s="9"/>
      <c r="D121" s="9"/>
      <c r="E121" s="9"/>
    </row>
    <row r="122" spans="1:5" ht="12.75">
      <c r="A122" s="5"/>
      <c r="B122" s="9"/>
      <c r="C122" s="9"/>
      <c r="D122" s="9"/>
      <c r="E122" s="9"/>
    </row>
    <row r="123" spans="1:5" ht="12.75">
      <c r="A123" s="5"/>
      <c r="B123" s="9"/>
      <c r="C123" s="9"/>
      <c r="D123" s="9"/>
      <c r="E123" s="9"/>
    </row>
    <row r="124" spans="1:5" ht="12.75">
      <c r="A124" s="5"/>
      <c r="B124" s="9"/>
      <c r="C124" s="9"/>
      <c r="D124" s="9"/>
      <c r="E124" s="9"/>
    </row>
    <row r="125" spans="1:5" ht="12.75">
      <c r="A125" s="5"/>
      <c r="B125" s="9"/>
      <c r="C125" s="9"/>
      <c r="D125" s="9"/>
      <c r="E125" s="9"/>
    </row>
    <row r="126" spans="1:5" ht="12.75">
      <c r="A126" s="5"/>
      <c r="B126" s="9"/>
      <c r="C126" s="9"/>
      <c r="D126" s="9"/>
      <c r="E126" s="9"/>
    </row>
    <row r="127" spans="1:5" ht="12.75">
      <c r="A127" s="5"/>
      <c r="B127" s="9"/>
      <c r="C127" s="9"/>
      <c r="D127" s="9"/>
      <c r="E127" s="9"/>
    </row>
    <row r="128" spans="1:5" ht="12.75">
      <c r="A128" s="5"/>
      <c r="B128" s="9"/>
      <c r="C128" s="9"/>
      <c r="D128" s="9"/>
      <c r="E128" s="9"/>
    </row>
    <row r="129" spans="1:5" ht="12.75">
      <c r="A129" s="5"/>
      <c r="B129" s="9"/>
      <c r="C129" s="9"/>
      <c r="D129" s="9"/>
      <c r="E129" s="9"/>
    </row>
    <row r="130" spans="1:5" ht="12.75">
      <c r="A130" s="5"/>
      <c r="B130" s="9"/>
      <c r="C130" s="9"/>
      <c r="D130" s="9"/>
      <c r="E130" s="9"/>
    </row>
    <row r="131" spans="1:5" ht="12.75">
      <c r="A131" s="5"/>
      <c r="B131" s="9"/>
      <c r="C131" s="9"/>
      <c r="D131" s="9"/>
      <c r="E131" s="9"/>
    </row>
    <row r="132" spans="1:5" ht="12.75">
      <c r="A132" s="5"/>
      <c r="B132" s="9"/>
      <c r="C132" s="9"/>
      <c r="D132" s="9"/>
      <c r="E132" s="9"/>
    </row>
    <row r="133" spans="1:5" ht="12.75">
      <c r="A133" s="5"/>
      <c r="B133" s="9"/>
      <c r="C133" s="9"/>
      <c r="D133" s="9"/>
      <c r="E133" s="9"/>
    </row>
    <row r="134" spans="1:5" ht="12.75">
      <c r="A134" s="5"/>
      <c r="B134" s="9"/>
      <c r="C134" s="9"/>
      <c r="D134" s="9"/>
      <c r="E134" s="9"/>
    </row>
    <row r="135" spans="1:5" ht="12.75">
      <c r="A135" s="5"/>
      <c r="B135" s="9"/>
      <c r="C135" s="9"/>
      <c r="D135" s="9"/>
      <c r="E135" s="9"/>
    </row>
    <row r="136" spans="1:5" ht="12.75">
      <c r="A136" s="5"/>
      <c r="B136" s="9"/>
      <c r="C136" s="9"/>
      <c r="D136" s="9"/>
      <c r="E136" s="9"/>
    </row>
    <row r="137" spans="1:5" ht="12.75">
      <c r="A137" s="5"/>
      <c r="B137" s="9"/>
      <c r="C137" s="9"/>
      <c r="D137" s="9"/>
      <c r="E137" s="9"/>
    </row>
    <row r="138" spans="1:5" ht="12.75">
      <c r="A138" s="5"/>
      <c r="B138" s="9"/>
      <c r="C138" s="9"/>
      <c r="D138" s="9"/>
      <c r="E138" s="9"/>
    </row>
    <row r="139" spans="1:5" ht="12.75">
      <c r="A139" s="5"/>
      <c r="B139" s="9"/>
      <c r="C139" s="9"/>
      <c r="D139" s="9"/>
      <c r="E139" s="9"/>
    </row>
    <row r="140" spans="1:5" ht="12.75">
      <c r="A140" s="5"/>
      <c r="B140" s="9"/>
      <c r="C140" s="9"/>
      <c r="D140" s="9"/>
      <c r="E140" s="9"/>
    </row>
    <row r="141" spans="1:5" ht="12.75">
      <c r="A141" s="5"/>
      <c r="B141" s="9"/>
      <c r="C141" s="9"/>
      <c r="D141" s="9"/>
      <c r="E141" s="9"/>
    </row>
    <row r="142" spans="1:5" ht="12.75">
      <c r="A142" s="5"/>
      <c r="B142" s="9"/>
      <c r="C142" s="9"/>
      <c r="D142" s="9"/>
      <c r="E142" s="9"/>
    </row>
    <row r="143" spans="1:5" ht="12.75">
      <c r="A143" s="5"/>
      <c r="B143" s="9"/>
      <c r="C143" s="9"/>
      <c r="D143" s="9"/>
      <c r="E143" s="9"/>
    </row>
    <row r="144" spans="1:5" ht="12.75">
      <c r="A144" s="5"/>
      <c r="B144" s="9"/>
      <c r="C144" s="9"/>
      <c r="D144" s="9"/>
      <c r="E144" s="9"/>
    </row>
    <row r="145" spans="1:5" ht="12.75">
      <c r="A145" s="5"/>
      <c r="B145" s="9"/>
      <c r="C145" s="9"/>
      <c r="D145" s="9"/>
      <c r="E145" s="9"/>
    </row>
    <row r="146" spans="1:5" ht="12.75">
      <c r="A146" s="5"/>
      <c r="B146" s="9"/>
      <c r="C146" s="9"/>
      <c r="D146" s="9"/>
      <c r="E146" s="9"/>
    </row>
    <row r="147" spans="1:5" ht="12.75">
      <c r="A147" s="5"/>
      <c r="B147" s="9"/>
      <c r="C147" s="9"/>
      <c r="D147" s="9"/>
      <c r="E147" s="9"/>
    </row>
    <row r="148" spans="1:5" ht="12.75">
      <c r="A148" s="5"/>
      <c r="B148" s="9"/>
      <c r="C148" s="9"/>
      <c r="D148" s="9"/>
      <c r="E148" s="9"/>
    </row>
    <row r="149" spans="1:5" ht="12.75">
      <c r="A149" s="5"/>
      <c r="B149" s="9"/>
      <c r="C149" s="9"/>
      <c r="D149" s="9"/>
      <c r="E149" s="9"/>
    </row>
    <row r="150" spans="1:5" ht="12.75">
      <c r="A150" s="5"/>
      <c r="B150" s="9"/>
      <c r="C150" s="9"/>
      <c r="D150" s="9"/>
      <c r="E150" s="9"/>
    </row>
    <row r="151" spans="1:5" ht="12.75">
      <c r="A151" s="5"/>
      <c r="B151" s="9"/>
      <c r="C151" s="9"/>
      <c r="D151" s="9"/>
      <c r="E151" s="9"/>
    </row>
    <row r="152" spans="1:5" ht="12.75">
      <c r="A152" s="5"/>
      <c r="B152" s="9"/>
      <c r="C152" s="9"/>
      <c r="D152" s="9"/>
      <c r="E152" s="9"/>
    </row>
    <row r="153" spans="1:5" ht="12.75">
      <c r="A153" s="5"/>
      <c r="B153" s="9"/>
      <c r="C153" s="9"/>
      <c r="D153" s="9"/>
      <c r="E153" s="9"/>
    </row>
    <row r="154" spans="1:5" ht="12.75">
      <c r="A154" s="5"/>
      <c r="B154" s="9"/>
      <c r="C154" s="9"/>
      <c r="D154" s="9"/>
      <c r="E154" s="9"/>
    </row>
    <row r="155" spans="1:5" ht="12.75">
      <c r="A155" s="5"/>
      <c r="B155" s="9"/>
      <c r="C155" s="9"/>
      <c r="D155" s="9"/>
      <c r="E155" s="9"/>
    </row>
    <row r="156" spans="1:5" ht="12.75">
      <c r="A156" s="5"/>
      <c r="B156" s="9"/>
      <c r="C156" s="9"/>
      <c r="D156" s="9"/>
      <c r="E156" s="9"/>
    </row>
    <row r="157" spans="1:5" ht="12.75">
      <c r="A157" s="5"/>
      <c r="B157" s="9"/>
      <c r="C157" s="9"/>
      <c r="D157" s="9"/>
      <c r="E157" s="9"/>
    </row>
    <row r="158" spans="1:5" ht="12.75">
      <c r="A158" s="5"/>
      <c r="B158" s="9"/>
      <c r="C158" s="9"/>
      <c r="D158" s="9"/>
      <c r="E158" s="9"/>
    </row>
    <row r="159" spans="1:5" ht="12.75">
      <c r="A159" s="5"/>
      <c r="B159" s="9"/>
      <c r="C159" s="9"/>
      <c r="D159" s="9"/>
      <c r="E159" s="9"/>
    </row>
    <row r="160" spans="1:5" ht="12.75">
      <c r="A160" s="5"/>
      <c r="B160" s="9"/>
      <c r="C160" s="9"/>
      <c r="D160" s="9"/>
      <c r="E160" s="9"/>
    </row>
    <row r="161" spans="1:5" ht="12.75">
      <c r="A161" s="5"/>
      <c r="B161" s="9"/>
      <c r="C161" s="9"/>
      <c r="D161" s="9"/>
      <c r="E161" s="9"/>
    </row>
    <row r="162" spans="1:5" ht="12.75">
      <c r="A162" s="5"/>
      <c r="B162" s="9"/>
      <c r="C162" s="9"/>
      <c r="D162" s="9"/>
      <c r="E162" s="9"/>
    </row>
    <row r="163" spans="1:5" ht="12.75">
      <c r="A163" s="5"/>
      <c r="B163" s="9"/>
      <c r="C163" s="9"/>
      <c r="D163" s="9"/>
      <c r="E163" s="9"/>
    </row>
    <row r="164" spans="1:5" ht="12.75">
      <c r="A164" s="5"/>
      <c r="B164" s="9"/>
      <c r="C164" s="9"/>
      <c r="D164" s="9"/>
      <c r="E164" s="9"/>
    </row>
    <row r="165" spans="1:5" ht="12.75">
      <c r="A165" s="5"/>
      <c r="B165" s="9"/>
      <c r="C165" s="9"/>
      <c r="D165" s="9"/>
      <c r="E165" s="9"/>
    </row>
    <row r="166" spans="1:5" ht="12.75">
      <c r="A166" s="5"/>
      <c r="B166" s="9"/>
      <c r="C166" s="9"/>
      <c r="D166" s="9"/>
      <c r="E166" s="9"/>
    </row>
    <row r="167" spans="1:5" ht="12.75">
      <c r="A167" s="5"/>
      <c r="B167" s="9"/>
      <c r="C167" s="9"/>
      <c r="D167" s="9"/>
      <c r="E167" s="9"/>
    </row>
    <row r="168" spans="1:5" ht="12.75">
      <c r="A168" s="5"/>
      <c r="B168" s="9"/>
      <c r="C168" s="9"/>
      <c r="D168" s="9"/>
      <c r="E168" s="9"/>
    </row>
    <row r="169" spans="1:5" ht="12.75">
      <c r="A169" s="5"/>
      <c r="B169" s="9"/>
      <c r="C169" s="9"/>
      <c r="D169" s="9"/>
      <c r="E169" s="9"/>
    </row>
    <row r="170" spans="1:5" ht="12.75">
      <c r="A170" s="5"/>
      <c r="B170" s="9"/>
      <c r="C170" s="9"/>
      <c r="D170" s="9"/>
      <c r="E170" s="9"/>
    </row>
    <row r="171" spans="1:5" ht="12.75">
      <c r="A171" s="5"/>
      <c r="B171" s="9"/>
      <c r="C171" s="9"/>
      <c r="D171" s="9"/>
      <c r="E171" s="9"/>
    </row>
    <row r="172" spans="1:5" ht="12.75">
      <c r="A172" s="5"/>
      <c r="B172" s="9"/>
      <c r="C172" s="9"/>
      <c r="D172" s="9"/>
      <c r="E172" s="9"/>
    </row>
    <row r="173" spans="1:5" ht="12.75">
      <c r="A173" s="5"/>
      <c r="B173" s="9"/>
      <c r="C173" s="9"/>
      <c r="D173" s="9"/>
      <c r="E173" s="9"/>
    </row>
    <row r="174" spans="1:5" ht="12.75">
      <c r="A174" s="5"/>
      <c r="B174" s="9"/>
      <c r="C174" s="9"/>
      <c r="D174" s="9"/>
      <c r="E174" s="9"/>
    </row>
    <row r="175" spans="1:5" ht="12.75">
      <c r="A175" s="5"/>
      <c r="B175" s="9"/>
      <c r="C175" s="9"/>
      <c r="D175" s="9"/>
      <c r="E175" s="9"/>
    </row>
    <row r="176" spans="1:5" ht="12.75">
      <c r="A176" s="5"/>
      <c r="B176" s="9"/>
      <c r="C176" s="9"/>
      <c r="D176" s="9"/>
      <c r="E176" s="9"/>
    </row>
    <row r="177" spans="1:5" ht="12.75">
      <c r="A177" s="5"/>
      <c r="B177" s="9"/>
      <c r="C177" s="9"/>
      <c r="D177" s="9"/>
      <c r="E177" s="9"/>
    </row>
    <row r="178" spans="1:5" ht="12.75">
      <c r="A178" s="5"/>
      <c r="B178" s="9"/>
      <c r="C178" s="9"/>
      <c r="D178" s="9"/>
      <c r="E178" s="9"/>
    </row>
    <row r="179" spans="1:5" ht="12.75">
      <c r="A179" s="5"/>
      <c r="B179" s="9"/>
      <c r="C179" s="9"/>
      <c r="D179" s="9"/>
      <c r="E179" s="9"/>
    </row>
    <row r="180" spans="1:5" ht="12.75">
      <c r="A180" s="5"/>
      <c r="B180" s="9"/>
      <c r="C180" s="9"/>
      <c r="D180" s="9"/>
      <c r="E180" s="9"/>
    </row>
    <row r="181" spans="1:5" ht="12.75">
      <c r="A181" s="5"/>
      <c r="B181" s="9"/>
      <c r="C181" s="9"/>
      <c r="D181" s="9"/>
      <c r="E181" s="9"/>
    </row>
    <row r="182" spans="1:5" ht="12.75">
      <c r="A182" s="5"/>
      <c r="B182" s="9"/>
      <c r="C182" s="9"/>
      <c r="D182" s="9"/>
      <c r="E182" s="9"/>
    </row>
    <row r="183" spans="1:5" ht="12.75">
      <c r="A183" s="5"/>
      <c r="B183" s="9"/>
      <c r="C183" s="9"/>
      <c r="D183" s="9"/>
      <c r="E183" s="9"/>
    </row>
    <row r="184" spans="1:5" ht="12.75">
      <c r="A184" s="5"/>
      <c r="B184" s="9"/>
      <c r="C184" s="9"/>
      <c r="D184" s="9"/>
      <c r="E184" s="9"/>
    </row>
    <row r="185" spans="1:5" ht="12.75">
      <c r="A185" s="5"/>
      <c r="B185" s="9"/>
      <c r="C185" s="9"/>
      <c r="D185" s="9"/>
      <c r="E185" s="9"/>
    </row>
    <row r="186" spans="1:5" ht="12.75">
      <c r="A186" s="5"/>
      <c r="B186" s="9"/>
      <c r="C186" s="9"/>
      <c r="D186" s="9"/>
      <c r="E186" s="9"/>
    </row>
    <row r="187" spans="1:5" ht="12.75">
      <c r="A187" s="5"/>
      <c r="B187" s="9"/>
      <c r="C187" s="9"/>
      <c r="D187" s="9"/>
      <c r="E187" s="9"/>
    </row>
    <row r="188" spans="1:5" ht="12.75">
      <c r="A188" s="5"/>
      <c r="B188" s="9"/>
      <c r="C188" s="9"/>
      <c r="D188" s="9"/>
      <c r="E188" s="9"/>
    </row>
    <row r="189" spans="1:5" ht="12.75">
      <c r="A189" s="5"/>
      <c r="B189" s="9"/>
      <c r="C189" s="9"/>
      <c r="D189" s="9"/>
      <c r="E189" s="9"/>
    </row>
    <row r="190" spans="1:5" ht="12.75">
      <c r="A190" s="5"/>
      <c r="B190" s="9"/>
      <c r="C190" s="9"/>
      <c r="D190" s="9"/>
      <c r="E190" s="9"/>
    </row>
    <row r="191" spans="1:5" ht="12.75">
      <c r="A191" s="5"/>
      <c r="B191" s="9"/>
      <c r="C191" s="9"/>
      <c r="D191" s="9"/>
      <c r="E191" s="9"/>
    </row>
    <row r="192" spans="1:5" ht="12.75">
      <c r="A192" s="5"/>
      <c r="B192" s="9"/>
      <c r="C192" s="9"/>
      <c r="D192" s="9"/>
      <c r="E192" s="9"/>
    </row>
    <row r="193" spans="1:5" ht="12.75">
      <c r="A193" s="5"/>
      <c r="B193" s="9"/>
      <c r="C193" s="9"/>
      <c r="D193" s="9"/>
      <c r="E193" s="9"/>
    </row>
    <row r="194" spans="1:5" ht="12.75">
      <c r="A194" s="5"/>
      <c r="B194" s="9"/>
      <c r="C194" s="9"/>
      <c r="D194" s="9"/>
      <c r="E194" s="9"/>
    </row>
    <row r="195" spans="1:5" ht="12.75">
      <c r="A195" s="5"/>
      <c r="B195" s="9"/>
      <c r="C195" s="9"/>
      <c r="D195" s="9"/>
      <c r="E195" s="9"/>
    </row>
    <row r="196" spans="1:5" ht="12.75">
      <c r="A196" s="5"/>
      <c r="B196" s="9"/>
      <c r="C196" s="9"/>
      <c r="D196" s="9"/>
      <c r="E196" s="9"/>
    </row>
    <row r="197" spans="1:5" ht="12.75">
      <c r="A197" s="5"/>
      <c r="B197" s="9"/>
      <c r="C197" s="9"/>
      <c r="D197" s="9"/>
      <c r="E197" s="9"/>
    </row>
    <row r="198" spans="1:5" ht="12.75">
      <c r="A198" s="5"/>
      <c r="B198" s="9"/>
      <c r="C198" s="9"/>
      <c r="D198" s="9"/>
      <c r="E198" s="9"/>
    </row>
    <row r="199" spans="1:5" ht="12.75">
      <c r="A199" s="5"/>
      <c r="B199" s="9"/>
      <c r="C199" s="9"/>
      <c r="D199" s="9"/>
      <c r="E199" s="9"/>
    </row>
    <row r="200" spans="1:5" ht="12.75">
      <c r="A200" s="5"/>
      <c r="B200" s="9"/>
      <c r="C200" s="9"/>
      <c r="D200" s="9"/>
      <c r="E200" s="9"/>
    </row>
    <row r="201" spans="1:5" ht="12.75">
      <c r="A201" s="5"/>
      <c r="B201" s="9"/>
      <c r="C201" s="9"/>
      <c r="D201" s="9"/>
      <c r="E201" s="9"/>
    </row>
    <row r="202" spans="1:5" ht="12.75">
      <c r="A202" s="5"/>
      <c r="B202" s="9"/>
      <c r="C202" s="9"/>
      <c r="D202" s="9"/>
      <c r="E202" s="9"/>
    </row>
    <row r="203" spans="1:5" ht="12.75">
      <c r="A203" s="5"/>
      <c r="B203" s="9"/>
      <c r="C203" s="9"/>
      <c r="D203" s="9"/>
      <c r="E203" s="9"/>
    </row>
    <row r="204" spans="1:5" ht="12.75">
      <c r="A204" s="5"/>
      <c r="B204" s="9"/>
      <c r="C204" s="9"/>
      <c r="D204" s="9"/>
      <c r="E204" s="9"/>
    </row>
    <row r="205" spans="1:5" ht="12.75">
      <c r="A205" s="5"/>
      <c r="B205" s="9"/>
      <c r="C205" s="9"/>
      <c r="D205" s="9"/>
      <c r="E205" s="9"/>
    </row>
    <row r="206" spans="1:5" ht="12.75">
      <c r="A206" s="5"/>
      <c r="B206" s="9"/>
      <c r="C206" s="9"/>
      <c r="D206" s="9"/>
      <c r="E206" s="9"/>
    </row>
    <row r="207" spans="1:5" ht="12.75">
      <c r="A207" s="5"/>
      <c r="B207" s="9"/>
      <c r="C207" s="9"/>
      <c r="D207" s="9"/>
      <c r="E207" s="9"/>
    </row>
    <row r="208" spans="1:5" ht="12.75">
      <c r="A208" s="5"/>
      <c r="B208" s="9"/>
      <c r="C208" s="9"/>
      <c r="D208" s="9"/>
      <c r="E208" s="9"/>
    </row>
    <row r="209" spans="1:5" ht="12.75">
      <c r="A209" s="5"/>
      <c r="B209" s="9"/>
      <c r="C209" s="9"/>
      <c r="D209" s="9"/>
      <c r="E209" s="9"/>
    </row>
    <row r="210" spans="1:5" ht="12.75">
      <c r="A210" s="5"/>
      <c r="B210" s="9"/>
      <c r="C210" s="9"/>
      <c r="D210" s="9"/>
      <c r="E210" s="9"/>
    </row>
    <row r="211" spans="1:5" ht="12.75">
      <c r="A211" s="5"/>
      <c r="B211" s="9"/>
      <c r="C211" s="9"/>
      <c r="D211" s="9"/>
      <c r="E211" s="9"/>
    </row>
    <row r="212" spans="1:5" ht="12.75">
      <c r="A212" s="5"/>
      <c r="B212" s="9"/>
      <c r="C212" s="9"/>
      <c r="D212" s="9"/>
      <c r="E212" s="9"/>
    </row>
    <row r="213" spans="1:5" ht="12.75">
      <c r="A213" s="5"/>
      <c r="B213" s="9"/>
      <c r="C213" s="9"/>
      <c r="D213" s="9"/>
      <c r="E213" s="9"/>
    </row>
    <row r="214" spans="1:5" ht="12.75">
      <c r="A214" s="5"/>
      <c r="B214" s="9"/>
      <c r="C214" s="9"/>
      <c r="D214" s="9"/>
      <c r="E214" s="9"/>
    </row>
    <row r="215" spans="1:5" ht="12.75">
      <c r="A215" s="5"/>
      <c r="B215" s="9"/>
      <c r="C215" s="9"/>
      <c r="D215" s="9"/>
      <c r="E215" s="9"/>
    </row>
    <row r="216" spans="1:5" ht="12.75">
      <c r="A216" s="5"/>
      <c r="B216" s="9"/>
      <c r="C216" s="9"/>
      <c r="D216" s="9"/>
      <c r="E216" s="9"/>
    </row>
    <row r="217" spans="1:5" ht="12.75">
      <c r="A217" s="5"/>
      <c r="B217" s="9"/>
      <c r="C217" s="9"/>
      <c r="D217" s="9"/>
      <c r="E217" s="9"/>
    </row>
    <row r="218" spans="1:5" ht="12.75">
      <c r="A218" s="5"/>
      <c r="B218" s="9"/>
      <c r="C218" s="9"/>
      <c r="D218" s="9"/>
      <c r="E218" s="9"/>
    </row>
    <row r="219" spans="1:5" ht="12.75">
      <c r="A219" s="5"/>
      <c r="B219" s="9"/>
      <c r="C219" s="9"/>
      <c r="D219" s="9"/>
      <c r="E219" s="9"/>
    </row>
    <row r="220" spans="1:5" ht="12.75">
      <c r="A220" s="5"/>
      <c r="B220" s="9"/>
      <c r="C220" s="9"/>
      <c r="D220" s="9"/>
      <c r="E220" s="9"/>
    </row>
    <row r="221" spans="1:5" ht="12.75">
      <c r="A221" s="5"/>
      <c r="B221" s="9"/>
      <c r="C221" s="9"/>
      <c r="D221" s="9"/>
      <c r="E221" s="9"/>
    </row>
    <row r="222" spans="1:5" ht="12.75">
      <c r="A222" s="5"/>
      <c r="B222" s="9"/>
      <c r="C222" s="9"/>
      <c r="D222" s="9"/>
      <c r="E222" s="9"/>
    </row>
    <row r="223" spans="1:5" ht="12.75">
      <c r="A223" s="5"/>
      <c r="B223" s="9"/>
      <c r="C223" s="9"/>
      <c r="D223" s="9"/>
      <c r="E223" s="9"/>
    </row>
    <row r="224" spans="1:5" ht="12.75">
      <c r="A224" s="5"/>
      <c r="B224" s="9"/>
      <c r="C224" s="9"/>
      <c r="D224" s="9"/>
      <c r="E224" s="9"/>
    </row>
    <row r="225" spans="1:5" ht="12.75">
      <c r="A225" s="5"/>
      <c r="B225" s="9"/>
      <c r="C225" s="9"/>
      <c r="D225" s="9"/>
      <c r="E225" s="9"/>
    </row>
    <row r="226" spans="1:5" ht="12.75">
      <c r="A226" s="5"/>
      <c r="B226" s="9"/>
      <c r="C226" s="9"/>
      <c r="D226" s="9"/>
      <c r="E226" s="9"/>
    </row>
    <row r="227" spans="1:5" ht="12.75">
      <c r="A227" s="5"/>
      <c r="B227" s="9"/>
      <c r="C227" s="9"/>
      <c r="D227" s="9"/>
      <c r="E227" s="9"/>
    </row>
    <row r="228" spans="1:5" ht="12.75">
      <c r="A228" s="5"/>
      <c r="B228" s="9"/>
      <c r="C228" s="9"/>
      <c r="D228" s="9"/>
      <c r="E228" s="9"/>
    </row>
    <row r="229" spans="1:5" ht="12.75">
      <c r="A229" s="5"/>
      <c r="B229" s="9"/>
      <c r="C229" s="9"/>
      <c r="D229" s="9"/>
      <c r="E229" s="9"/>
    </row>
    <row r="230" spans="1:5" ht="12.75">
      <c r="A230" s="5"/>
      <c r="B230" s="9"/>
      <c r="C230" s="9"/>
      <c r="D230" s="9"/>
      <c r="E230" s="9"/>
    </row>
    <row r="231" spans="1:5" ht="12.75">
      <c r="A231" s="5"/>
      <c r="B231" s="9"/>
      <c r="C231" s="9"/>
      <c r="D231" s="9"/>
      <c r="E231" s="9"/>
    </row>
    <row r="232" spans="1:5" ht="12.75">
      <c r="A232" s="5"/>
      <c r="B232" s="9"/>
      <c r="C232" s="9"/>
      <c r="D232" s="9"/>
      <c r="E232" s="9"/>
    </row>
    <row r="233" spans="1:5" ht="12.75">
      <c r="A233" s="5"/>
      <c r="B233" s="9"/>
      <c r="C233" s="9"/>
      <c r="D233" s="9"/>
      <c r="E233" s="9"/>
    </row>
    <row r="234" spans="1:5" ht="12.75">
      <c r="A234" s="5"/>
      <c r="B234" s="9"/>
      <c r="C234" s="9"/>
      <c r="D234" s="9"/>
      <c r="E234" s="9"/>
    </row>
    <row r="235" spans="1:5" ht="12.75">
      <c r="A235" s="5"/>
      <c r="B235" s="9"/>
      <c r="C235" s="9"/>
      <c r="D235" s="9"/>
      <c r="E235" s="9"/>
    </row>
    <row r="236" spans="1:5" ht="12.75">
      <c r="A236" s="5"/>
      <c r="B236" s="9"/>
      <c r="C236" s="9"/>
      <c r="D236" s="9"/>
      <c r="E236" s="9"/>
    </row>
    <row r="237" spans="1:5" ht="12.75">
      <c r="A237" s="5"/>
      <c r="B237" s="9"/>
      <c r="C237" s="9"/>
      <c r="D237" s="9"/>
      <c r="E237" s="9"/>
    </row>
    <row r="238" spans="1:5" ht="12.75">
      <c r="A238" s="5"/>
      <c r="B238" s="9"/>
      <c r="C238" s="9"/>
      <c r="D238" s="9"/>
      <c r="E238" s="9"/>
    </row>
    <row r="239" spans="1:5" ht="12.75">
      <c r="A239" s="5"/>
      <c r="B239" s="9"/>
      <c r="C239" s="9"/>
      <c r="D239" s="9"/>
      <c r="E239" s="9"/>
    </row>
    <row r="240" spans="1:5" ht="12.75">
      <c r="A240" s="5"/>
      <c r="B240" s="9"/>
      <c r="C240" s="9"/>
      <c r="D240" s="9"/>
      <c r="E240" s="9"/>
    </row>
    <row r="241" spans="1:5" ht="12.75">
      <c r="A241" s="5"/>
      <c r="B241" s="9"/>
      <c r="C241" s="9"/>
      <c r="D241" s="9"/>
      <c r="E241" s="9"/>
    </row>
    <row r="242" spans="1:5" ht="12.75">
      <c r="A242" s="5"/>
      <c r="B242" s="9"/>
      <c r="C242" s="9"/>
      <c r="D242" s="9"/>
      <c r="E242" s="9"/>
    </row>
    <row r="243" spans="1:5" ht="12.75">
      <c r="A243" s="5"/>
      <c r="B243" s="9"/>
      <c r="C243" s="9"/>
      <c r="D243" s="9"/>
      <c r="E243" s="9"/>
    </row>
    <row r="244" spans="1:5" ht="12.75">
      <c r="A244" s="5"/>
      <c r="B244" s="9"/>
      <c r="C244" s="9"/>
      <c r="D244" s="9"/>
      <c r="E244" s="9"/>
    </row>
    <row r="245" spans="1:5" ht="12.75">
      <c r="A245" s="5"/>
      <c r="B245" s="9"/>
      <c r="C245" s="9"/>
      <c r="D245" s="9"/>
      <c r="E245" s="9"/>
    </row>
    <row r="246" spans="1:5" ht="12.75">
      <c r="A246" s="5"/>
      <c r="B246" s="9"/>
      <c r="C246" s="9"/>
      <c r="D246" s="9"/>
      <c r="E246" s="9"/>
    </row>
    <row r="247" spans="1:5" ht="12.75">
      <c r="A247" s="5"/>
      <c r="B247" s="9"/>
      <c r="C247" s="9"/>
      <c r="D247" s="9"/>
      <c r="E247" s="9"/>
    </row>
    <row r="248" spans="1:5" ht="12.75">
      <c r="A248" s="5"/>
      <c r="B248" s="9"/>
      <c r="C248" s="9"/>
      <c r="D248" s="9"/>
      <c r="E248" s="9"/>
    </row>
    <row r="249" spans="1:5" ht="12.75">
      <c r="A249" s="5"/>
      <c r="B249" s="9"/>
      <c r="C249" s="9"/>
      <c r="D249" s="9"/>
      <c r="E249" s="9"/>
    </row>
    <row r="250" spans="1:5" ht="12.75">
      <c r="A250" s="5"/>
      <c r="B250" s="9"/>
      <c r="C250" s="9"/>
      <c r="D250" s="9"/>
      <c r="E250" s="9"/>
    </row>
    <row r="251" spans="1:5" ht="12.75">
      <c r="A251" s="5"/>
      <c r="B251" s="9"/>
      <c r="C251" s="9"/>
      <c r="D251" s="9"/>
      <c r="E251" s="9"/>
    </row>
    <row r="252" spans="1:5" ht="12.75">
      <c r="A252" s="5"/>
      <c r="B252" s="9"/>
      <c r="C252" s="9"/>
      <c r="D252" s="9"/>
      <c r="E252" s="9"/>
    </row>
    <row r="253" spans="1:5" ht="12.75">
      <c r="A253" s="5"/>
      <c r="B253" s="9"/>
      <c r="C253" s="9"/>
      <c r="D253" s="9"/>
      <c r="E253" s="9"/>
    </row>
    <row r="254" spans="1:5" ht="12.75">
      <c r="A254" s="5"/>
      <c r="B254" s="9"/>
      <c r="C254" s="9"/>
      <c r="D254" s="9"/>
      <c r="E254" s="9"/>
    </row>
    <row r="255" spans="1:5" ht="12.75">
      <c r="A255" s="5"/>
      <c r="B255" s="9"/>
      <c r="C255" s="9"/>
      <c r="D255" s="9"/>
      <c r="E255" s="9"/>
    </row>
    <row r="256" spans="1:5" ht="12.75">
      <c r="A256" s="5"/>
      <c r="B256" s="9"/>
      <c r="C256" s="9"/>
      <c r="D256" s="9"/>
      <c r="E256" s="9"/>
    </row>
    <row r="257" spans="1:5" ht="12.75">
      <c r="A257" s="5"/>
      <c r="B257" s="9"/>
      <c r="C257" s="9"/>
      <c r="D257" s="9"/>
      <c r="E257" s="9"/>
    </row>
    <row r="258" spans="1:5" ht="12.75">
      <c r="A258" s="5"/>
      <c r="B258" s="9"/>
      <c r="C258" s="9"/>
      <c r="D258" s="9"/>
      <c r="E258" s="9"/>
    </row>
    <row r="259" spans="1:5" ht="12.75">
      <c r="A259" s="5"/>
      <c r="B259" s="9"/>
      <c r="C259" s="9"/>
      <c r="D259" s="9"/>
      <c r="E259" s="9"/>
    </row>
    <row r="260" spans="1:5" ht="12.75">
      <c r="A260" s="5"/>
      <c r="B260" s="9"/>
      <c r="C260" s="9"/>
      <c r="D260" s="9"/>
      <c r="E260" s="9"/>
    </row>
    <row r="261" spans="1:5" ht="12.75">
      <c r="A261" s="5"/>
      <c r="B261" s="9"/>
      <c r="C261" s="9"/>
      <c r="D261" s="9"/>
      <c r="E261" s="9"/>
    </row>
    <row r="262" spans="1:5" ht="12.75">
      <c r="A262" s="5"/>
      <c r="B262" s="9"/>
      <c r="C262" s="9"/>
      <c r="D262" s="9"/>
      <c r="E262" s="9"/>
    </row>
    <row r="263" spans="1:5" ht="12.75">
      <c r="A263" s="5"/>
      <c r="B263" s="9"/>
      <c r="C263" s="9"/>
      <c r="D263" s="9"/>
      <c r="E263" s="9"/>
    </row>
    <row r="264" spans="1:5" ht="12.75">
      <c r="A264" s="5"/>
      <c r="B264" s="9"/>
      <c r="C264" s="9"/>
      <c r="D264" s="9"/>
      <c r="E264" s="9"/>
    </row>
    <row r="265" spans="1:5" ht="12.75">
      <c r="A265" s="5"/>
      <c r="B265" s="9"/>
      <c r="C265" s="9"/>
      <c r="D265" s="9"/>
      <c r="E265" s="9"/>
    </row>
    <row r="266" spans="1:5" ht="12.75">
      <c r="A266" s="5"/>
      <c r="B266" s="9"/>
      <c r="C266" s="9"/>
      <c r="D266" s="9"/>
      <c r="E266" s="9"/>
    </row>
    <row r="267" spans="1:5" ht="12.75">
      <c r="A267" s="5"/>
      <c r="B267" s="9"/>
      <c r="C267" s="9"/>
      <c r="D267" s="9"/>
      <c r="E267" s="9"/>
    </row>
    <row r="268" spans="1:5" ht="12.75">
      <c r="A268" s="5"/>
      <c r="B268" s="9"/>
      <c r="C268" s="9"/>
      <c r="D268" s="9"/>
      <c r="E268" s="9"/>
    </row>
    <row r="269" spans="1:5" ht="12.75">
      <c r="A269" s="5"/>
      <c r="B269" s="9"/>
      <c r="C269" s="9"/>
      <c r="D269" s="9"/>
      <c r="E269" s="9"/>
    </row>
    <row r="270" spans="1:5" ht="12.75">
      <c r="A270" s="5"/>
      <c r="B270" s="9"/>
      <c r="C270" s="9"/>
      <c r="D270" s="9"/>
      <c r="E270" s="9"/>
    </row>
    <row r="271" spans="1:5" ht="12.75">
      <c r="A271" s="5"/>
      <c r="B271" s="9"/>
      <c r="C271" s="9"/>
      <c r="D271" s="9"/>
      <c r="E271" s="9"/>
    </row>
    <row r="272" spans="1:5" ht="12.75">
      <c r="A272" s="5"/>
      <c r="B272" s="9"/>
      <c r="C272" s="9"/>
      <c r="D272" s="9"/>
      <c r="E272" s="9"/>
    </row>
    <row r="273" spans="1:5" ht="12.75">
      <c r="A273" s="5"/>
      <c r="B273" s="9"/>
      <c r="C273" s="9"/>
      <c r="D273" s="9"/>
      <c r="E273" s="9"/>
    </row>
    <row r="274" spans="1:5" ht="12.75">
      <c r="A274" s="5"/>
      <c r="B274" s="9"/>
      <c r="C274" s="9"/>
      <c r="D274" s="9"/>
      <c r="E274" s="9"/>
    </row>
    <row r="275" spans="1:5" ht="12.75">
      <c r="A275" s="5"/>
      <c r="B275" s="9"/>
      <c r="C275" s="9"/>
      <c r="D275" s="9"/>
      <c r="E275" s="9"/>
    </row>
    <row r="276" spans="1:5" ht="12.75">
      <c r="A276" s="5"/>
      <c r="B276" s="9"/>
      <c r="C276" s="9"/>
      <c r="D276" s="9"/>
      <c r="E276" s="9"/>
    </row>
    <row r="277" spans="1:5" ht="12.75">
      <c r="A277" s="5"/>
      <c r="B277" s="9"/>
      <c r="C277" s="9"/>
      <c r="D277" s="9"/>
      <c r="E277" s="9"/>
    </row>
    <row r="278" spans="1:5" ht="12.75">
      <c r="A278" s="5"/>
      <c r="B278" s="9"/>
      <c r="C278" s="9"/>
      <c r="D278" s="9"/>
      <c r="E278" s="9"/>
    </row>
    <row r="279" spans="1:5" ht="12.75">
      <c r="A279" s="5"/>
      <c r="B279" s="9"/>
      <c r="C279" s="9"/>
      <c r="D279" s="9"/>
      <c r="E279" s="9"/>
    </row>
    <row r="280" spans="1:5" ht="12.75">
      <c r="A280" s="5"/>
      <c r="B280" s="9"/>
      <c r="C280" s="9"/>
      <c r="D280" s="9"/>
      <c r="E280" s="9"/>
    </row>
    <row r="281" spans="1:5" ht="12.75">
      <c r="A281" s="5"/>
      <c r="B281" s="9"/>
      <c r="C281" s="9"/>
      <c r="D281" s="9"/>
      <c r="E281" s="9"/>
    </row>
    <row r="282" spans="1:5" ht="12.75">
      <c r="A282" s="5"/>
      <c r="B282" s="9"/>
      <c r="C282" s="9"/>
      <c r="D282" s="9"/>
      <c r="E282" s="9"/>
    </row>
    <row r="283" spans="1:5" ht="12.75">
      <c r="A283" s="5"/>
      <c r="B283" s="9"/>
      <c r="C283" s="9"/>
      <c r="D283" s="9"/>
      <c r="E283" s="9"/>
    </row>
    <row r="284" spans="1:5" ht="12.75">
      <c r="A284" s="5"/>
      <c r="B284" s="9"/>
      <c r="C284" s="9"/>
      <c r="D284" s="9"/>
      <c r="E284" s="9"/>
    </row>
    <row r="285" spans="1:5" ht="12.75">
      <c r="A285" s="5"/>
      <c r="B285" s="9"/>
      <c r="C285" s="9"/>
      <c r="D285" s="9"/>
      <c r="E285" s="9"/>
    </row>
    <row r="286" spans="1:5" ht="12.75">
      <c r="A286" s="5"/>
      <c r="B286" s="9"/>
      <c r="C286" s="9"/>
      <c r="D286" s="9"/>
      <c r="E286" s="9"/>
    </row>
    <row r="287" spans="1:5" ht="12.75">
      <c r="A287" s="5"/>
      <c r="B287" s="9"/>
      <c r="C287" s="9"/>
      <c r="D287" s="9"/>
      <c r="E287" s="9"/>
    </row>
    <row r="288" spans="1:5" ht="12.75">
      <c r="A288" s="5"/>
      <c r="B288" s="9"/>
      <c r="C288" s="9"/>
      <c r="D288" s="9"/>
      <c r="E288" s="9"/>
    </row>
    <row r="289" spans="1:5" ht="12.75">
      <c r="A289" s="5"/>
      <c r="B289" s="9"/>
      <c r="C289" s="9"/>
      <c r="D289" s="9"/>
      <c r="E289" s="9"/>
    </row>
    <row r="290" spans="1:5" ht="12.75">
      <c r="A290" s="5"/>
      <c r="B290" s="9"/>
      <c r="C290" s="9"/>
      <c r="D290" s="9"/>
      <c r="E290" s="9"/>
    </row>
    <row r="291" spans="1:5" ht="12.75">
      <c r="A291" s="5"/>
      <c r="B291" s="9"/>
      <c r="C291" s="9"/>
      <c r="D291" s="9"/>
      <c r="E291" s="9"/>
    </row>
    <row r="292" spans="1:5" ht="12.75">
      <c r="A292" s="5"/>
      <c r="B292" s="9"/>
      <c r="C292" s="9"/>
      <c r="D292" s="9"/>
      <c r="E292" s="9"/>
    </row>
    <row r="293" spans="1:5" ht="12.75">
      <c r="A293" s="5"/>
      <c r="B293" s="9"/>
      <c r="C293" s="9"/>
      <c r="D293" s="9"/>
      <c r="E293" s="9"/>
    </row>
    <row r="294" spans="1:5" ht="12.75">
      <c r="A294" s="5"/>
      <c r="B294" s="9"/>
      <c r="C294" s="9"/>
      <c r="D294" s="9"/>
      <c r="E294" s="9"/>
    </row>
    <row r="295" spans="1:5" ht="12.75">
      <c r="A295" s="5"/>
      <c r="B295" s="9"/>
      <c r="C295" s="9"/>
      <c r="D295" s="9"/>
      <c r="E295" s="9"/>
    </row>
    <row r="296" spans="1:5" ht="12.75">
      <c r="A296" s="5"/>
      <c r="B296" s="9"/>
      <c r="C296" s="9"/>
      <c r="D296" s="9"/>
      <c r="E296" s="9"/>
    </row>
    <row r="297" spans="1:5" ht="12.75">
      <c r="A297" s="5"/>
      <c r="B297" s="9"/>
      <c r="C297" s="9"/>
      <c r="D297" s="9"/>
      <c r="E297" s="9"/>
    </row>
    <row r="298" spans="1:5" ht="12.75">
      <c r="A298" s="5"/>
      <c r="B298" s="9"/>
      <c r="C298" s="9"/>
      <c r="D298" s="9"/>
      <c r="E298" s="9"/>
    </row>
    <row r="299" spans="1:5" ht="12.75">
      <c r="A299" s="5"/>
      <c r="B299" s="9"/>
      <c r="C299" s="9"/>
      <c r="D299" s="9"/>
      <c r="E299" s="9"/>
    </row>
    <row r="300" spans="1:5" ht="12.75">
      <c r="A300" s="5"/>
      <c r="B300" s="9"/>
      <c r="C300" s="9"/>
      <c r="D300" s="9"/>
      <c r="E300" s="9"/>
    </row>
    <row r="301" spans="1:5" ht="12.75">
      <c r="A301" s="5"/>
      <c r="B301" s="9"/>
      <c r="C301" s="9"/>
      <c r="D301" s="9"/>
      <c r="E301" s="9"/>
    </row>
    <row r="302" spans="1:5" ht="12.75">
      <c r="A302" s="5"/>
      <c r="B302" s="9"/>
      <c r="C302" s="9"/>
      <c r="D302" s="9"/>
      <c r="E302" s="9"/>
    </row>
    <row r="303" spans="1:5" ht="12.75">
      <c r="A303" s="5"/>
      <c r="B303" s="9"/>
      <c r="C303" s="9"/>
      <c r="D303" s="9"/>
      <c r="E303" s="9"/>
    </row>
    <row r="304" spans="1:5" ht="12.75">
      <c r="A304" s="5"/>
      <c r="B304" s="9"/>
      <c r="C304" s="9"/>
      <c r="D304" s="9"/>
      <c r="E304" s="9"/>
    </row>
    <row r="305" spans="1:5" ht="12.75">
      <c r="A305" s="5"/>
      <c r="B305" s="9"/>
      <c r="C305" s="9"/>
      <c r="D305" s="9"/>
      <c r="E305" s="9"/>
    </row>
    <row r="306" spans="1:5" ht="12.75">
      <c r="A306" s="5"/>
      <c r="B306" s="9"/>
      <c r="C306" s="9"/>
      <c r="D306" s="9"/>
      <c r="E306" s="9"/>
    </row>
    <row r="307" spans="1:5" ht="12.75">
      <c r="A307" s="5"/>
      <c r="B307" s="9"/>
      <c r="C307" s="9"/>
      <c r="D307" s="9"/>
      <c r="E307" s="9"/>
    </row>
    <row r="308" spans="1:5" ht="12.75">
      <c r="A308" s="5"/>
      <c r="B308" s="9"/>
      <c r="C308" s="9"/>
      <c r="D308" s="9"/>
      <c r="E308" s="9"/>
    </row>
    <row r="309" spans="1:5" ht="12.75">
      <c r="A309" s="5"/>
      <c r="B309" s="9"/>
      <c r="C309" s="9"/>
      <c r="D309" s="9"/>
      <c r="E309" s="9"/>
    </row>
    <row r="310" spans="1:5" ht="12.75">
      <c r="A310" s="5"/>
      <c r="B310" s="9"/>
      <c r="C310" s="9"/>
      <c r="D310" s="9"/>
      <c r="E310" s="9"/>
    </row>
    <row r="311" spans="1:5" ht="12.75">
      <c r="A311" s="5"/>
      <c r="B311" s="9"/>
      <c r="C311" s="9"/>
      <c r="D311" s="9"/>
      <c r="E311" s="9"/>
    </row>
    <row r="312" spans="1:5" ht="12.75">
      <c r="A312" s="5"/>
      <c r="B312" s="9"/>
      <c r="C312" s="9"/>
      <c r="D312" s="9"/>
      <c r="E312" s="9"/>
    </row>
    <row r="313" spans="1:5" ht="12.75">
      <c r="A313" s="5"/>
      <c r="B313" s="9"/>
      <c r="C313" s="9"/>
      <c r="D313" s="9"/>
      <c r="E313" s="9"/>
    </row>
    <row r="314" spans="1:5" ht="12.75">
      <c r="A314" s="5"/>
      <c r="B314" s="9"/>
      <c r="C314" s="9"/>
      <c r="D314" s="9"/>
      <c r="E314" s="9"/>
    </row>
    <row r="315" spans="1:5" ht="12.75">
      <c r="A315" s="5"/>
      <c r="B315" s="9"/>
      <c r="C315" s="9"/>
      <c r="D315" s="9"/>
      <c r="E315" s="9"/>
    </row>
    <row r="316" spans="1:5" ht="12.75">
      <c r="A316" s="5"/>
      <c r="B316" s="9"/>
      <c r="C316" s="9"/>
      <c r="D316" s="9"/>
      <c r="E316" s="9"/>
    </row>
    <row r="317" spans="1:5" ht="12.75">
      <c r="A317" s="5"/>
      <c r="B317" s="9"/>
      <c r="C317" s="9"/>
      <c r="D317" s="9"/>
      <c r="E317" s="9"/>
    </row>
    <row r="318" spans="1:5" ht="12.75">
      <c r="A318" s="5"/>
      <c r="B318" s="9"/>
      <c r="C318" s="9"/>
      <c r="D318" s="9"/>
      <c r="E318" s="9"/>
    </row>
    <row r="319" spans="1:5" ht="12.75">
      <c r="A319" s="5"/>
      <c r="B319" s="9"/>
      <c r="C319" s="9"/>
      <c r="D319" s="9"/>
      <c r="E319" s="9"/>
    </row>
    <row r="320" spans="1:5" ht="12.75">
      <c r="A320" s="5"/>
      <c r="B320" s="9"/>
      <c r="C320" s="9"/>
      <c r="D320" s="9"/>
      <c r="E320" s="9"/>
    </row>
    <row r="321" spans="1:5" ht="12.75">
      <c r="A321" s="5"/>
      <c r="B321" s="9"/>
      <c r="C321" s="9"/>
      <c r="D321" s="9"/>
      <c r="E321" s="9"/>
    </row>
    <row r="322" spans="1:5" ht="12.75">
      <c r="A322" s="5"/>
      <c r="B322" s="9"/>
      <c r="C322" s="9"/>
      <c r="D322" s="9"/>
      <c r="E322" s="9"/>
    </row>
    <row r="323" spans="1:5" ht="12.75">
      <c r="A323" s="5"/>
      <c r="B323" s="9"/>
      <c r="C323" s="9"/>
      <c r="D323" s="9"/>
      <c r="E323" s="9"/>
    </row>
    <row r="324" spans="1:5" ht="12.75">
      <c r="A324" s="5"/>
      <c r="B324" s="9"/>
      <c r="C324" s="9"/>
      <c r="D324" s="9"/>
      <c r="E324" s="9"/>
    </row>
    <row r="325" spans="1:5" ht="12.75">
      <c r="A325" s="5"/>
      <c r="B325" s="9"/>
      <c r="C325" s="9"/>
      <c r="D325" s="9"/>
      <c r="E325" s="9"/>
    </row>
    <row r="326" spans="1:5" ht="12.75">
      <c r="A326" s="5"/>
      <c r="B326" s="9"/>
      <c r="C326" s="9"/>
      <c r="D326" s="9"/>
      <c r="E326" s="9"/>
    </row>
    <row r="327" spans="1:5" ht="12.75">
      <c r="A327" s="5"/>
      <c r="B327" s="9"/>
      <c r="C327" s="9"/>
      <c r="D327" s="9"/>
      <c r="E327" s="9"/>
    </row>
    <row r="328" spans="1:5" ht="12.75">
      <c r="A328" s="5"/>
      <c r="B328" s="9"/>
      <c r="C328" s="9"/>
      <c r="D328" s="9"/>
      <c r="E328" s="9"/>
    </row>
    <row r="329" spans="1:5" ht="12.75">
      <c r="A329" s="5"/>
      <c r="B329" s="9"/>
      <c r="C329" s="9"/>
      <c r="D329" s="9"/>
      <c r="E329" s="9"/>
    </row>
    <row r="330" spans="1:5" ht="12.75">
      <c r="A330" s="5"/>
      <c r="B330" s="9"/>
      <c r="C330" s="9"/>
      <c r="D330" s="9"/>
      <c r="E330" s="9"/>
    </row>
    <row r="331" spans="1:5" ht="12.75">
      <c r="A331" s="5"/>
      <c r="B331" s="9"/>
      <c r="C331" s="9"/>
      <c r="D331" s="9"/>
      <c r="E331" s="9"/>
    </row>
    <row r="332" spans="1:5" ht="12.75">
      <c r="A332" s="5"/>
      <c r="B332" s="9"/>
      <c r="C332" s="9"/>
      <c r="D332" s="9"/>
      <c r="E332" s="9"/>
    </row>
    <row r="333" spans="1:5" ht="12.75">
      <c r="A333" s="5"/>
      <c r="B333" s="9"/>
      <c r="C333" s="9"/>
      <c r="D333" s="9"/>
      <c r="E333" s="9"/>
    </row>
    <row r="334" spans="1:5" ht="12.75">
      <c r="A334" s="5"/>
      <c r="B334" s="9"/>
      <c r="C334" s="9"/>
      <c r="D334" s="9"/>
      <c r="E334" s="9"/>
    </row>
    <row r="335" spans="1:5" ht="12.75">
      <c r="A335" s="5"/>
      <c r="B335" s="9"/>
      <c r="C335" s="9"/>
      <c r="D335" s="9"/>
      <c r="E335" s="9"/>
    </row>
    <row r="336" spans="1:5" ht="12.75">
      <c r="A336" s="5"/>
      <c r="B336" s="9"/>
      <c r="C336" s="9"/>
      <c r="D336" s="9"/>
      <c r="E336" s="9"/>
    </row>
    <row r="337" spans="1:5" ht="12.75">
      <c r="A337" s="5"/>
      <c r="B337" s="9"/>
      <c r="C337" s="9"/>
      <c r="D337" s="9"/>
      <c r="E337" s="9"/>
    </row>
    <row r="338" spans="1:5" ht="12.75">
      <c r="A338" s="5"/>
      <c r="B338" s="9"/>
      <c r="C338" s="9"/>
      <c r="D338" s="9"/>
      <c r="E338" s="9"/>
    </row>
    <row r="339" spans="1:5" ht="12.75">
      <c r="A339" s="5"/>
      <c r="B339" s="9"/>
      <c r="C339" s="9"/>
      <c r="D339" s="9"/>
      <c r="E339" s="9"/>
    </row>
    <row r="340" spans="1:5" ht="12.75">
      <c r="A340" s="5"/>
      <c r="B340" s="9"/>
      <c r="C340" s="9"/>
      <c r="D340" s="9"/>
      <c r="E340" s="9"/>
    </row>
    <row r="341" spans="1:5" ht="12.75">
      <c r="A341" s="5"/>
      <c r="B341" s="9"/>
      <c r="C341" s="9"/>
      <c r="D341" s="9"/>
      <c r="E341" s="9"/>
    </row>
    <row r="342" spans="1:5" ht="12.75">
      <c r="A342" s="5"/>
      <c r="B342" s="9"/>
      <c r="C342" s="9"/>
      <c r="D342" s="9"/>
      <c r="E342" s="9"/>
    </row>
    <row r="343" spans="1:5" ht="12.75">
      <c r="A343" s="5"/>
      <c r="B343" s="9"/>
      <c r="C343" s="9"/>
      <c r="D343" s="9"/>
      <c r="E343" s="9"/>
    </row>
    <row r="344" spans="1:5" ht="12.75">
      <c r="A344" s="5"/>
      <c r="B344" s="9"/>
      <c r="C344" s="9"/>
      <c r="D344" s="9"/>
      <c r="E344" s="9"/>
    </row>
    <row r="345" spans="1:5" ht="12.75">
      <c r="A345" s="5"/>
      <c r="B345" s="9"/>
      <c r="C345" s="9"/>
      <c r="D345" s="9"/>
      <c r="E345" s="9"/>
    </row>
    <row r="346" spans="1:5" ht="12.75">
      <c r="A346" s="5"/>
      <c r="B346" s="9"/>
      <c r="C346" s="9"/>
      <c r="D346" s="9"/>
      <c r="E346" s="9"/>
    </row>
    <row r="347" spans="1:5" ht="12.75">
      <c r="A347" s="5"/>
      <c r="B347" s="9"/>
      <c r="C347" s="9"/>
      <c r="D347" s="9"/>
      <c r="E347" s="9"/>
    </row>
    <row r="348" spans="1:5" ht="12.75">
      <c r="A348" s="5"/>
      <c r="B348" s="9"/>
      <c r="C348" s="9"/>
      <c r="D348" s="9"/>
      <c r="E348" s="9"/>
    </row>
    <row r="349" spans="1:5" ht="12.75">
      <c r="A349" s="5"/>
      <c r="B349" s="9"/>
      <c r="C349" s="9"/>
      <c r="D349" s="9"/>
      <c r="E349" s="9"/>
    </row>
    <row r="350" spans="1:5" ht="12.75">
      <c r="A350" s="5"/>
      <c r="B350" s="9"/>
      <c r="C350" s="9"/>
      <c r="D350" s="9"/>
      <c r="E350" s="9"/>
    </row>
    <row r="351" spans="1:5" ht="12.75">
      <c r="A351" s="5"/>
      <c r="B351" s="9"/>
      <c r="C351" s="9"/>
      <c r="D351" s="9"/>
      <c r="E351" s="9"/>
    </row>
    <row r="352" spans="1:5" ht="12.75">
      <c r="A352" s="5"/>
      <c r="B352" s="9"/>
      <c r="C352" s="9"/>
      <c r="D352" s="9"/>
      <c r="E352" s="9"/>
    </row>
    <row r="353" spans="1:5" ht="12.75">
      <c r="A353" s="5"/>
      <c r="B353" s="9"/>
      <c r="C353" s="9"/>
      <c r="D353" s="9"/>
      <c r="E353" s="9"/>
    </row>
    <row r="354" spans="1:5" ht="12.75">
      <c r="A354" s="5"/>
      <c r="B354" s="9"/>
      <c r="C354" s="9"/>
      <c r="D354" s="9"/>
      <c r="E354" s="9"/>
    </row>
    <row r="355" spans="1:5" ht="12.75">
      <c r="A355" s="5"/>
      <c r="B355" s="9"/>
      <c r="C355" s="9"/>
      <c r="D355" s="9"/>
      <c r="E355" s="9"/>
    </row>
    <row r="356" spans="1:5" ht="12.75">
      <c r="A356" s="6"/>
      <c r="B356" s="9"/>
      <c r="C356" s="9"/>
      <c r="D356" s="9"/>
      <c r="E356" s="9"/>
    </row>
    <row r="357" spans="1:5" ht="12.75">
      <c r="A357" s="6"/>
      <c r="B357" s="9"/>
      <c r="C357" s="9"/>
      <c r="D357" s="9"/>
      <c r="E357" s="9"/>
    </row>
    <row r="358" spans="1:5" ht="12.75">
      <c r="A358" s="6"/>
      <c r="B358" s="9"/>
      <c r="C358" s="9"/>
      <c r="D358" s="9"/>
      <c r="E358" s="9"/>
    </row>
    <row r="359" spans="1:5" ht="12.75">
      <c r="A359" s="6"/>
      <c r="B359" s="9"/>
      <c r="C359" s="9"/>
      <c r="D359" s="9"/>
      <c r="E359" s="9"/>
    </row>
    <row r="360" spans="1:5" ht="12.75">
      <c r="A360" s="6"/>
      <c r="B360" s="9"/>
      <c r="C360" s="9"/>
      <c r="D360" s="9"/>
      <c r="E360" s="9"/>
    </row>
    <row r="361" spans="1:5" ht="12.75">
      <c r="A361" s="6"/>
      <c r="B361" s="9"/>
      <c r="C361" s="9"/>
      <c r="D361" s="9"/>
      <c r="E361" s="9"/>
    </row>
    <row r="362" spans="1:5" ht="12.75">
      <c r="A362" s="6"/>
      <c r="B362" s="9"/>
      <c r="C362" s="9"/>
      <c r="D362" s="9"/>
      <c r="E362" s="9"/>
    </row>
    <row r="363" spans="1:5" ht="12.75">
      <c r="A363" s="6"/>
      <c r="B363" s="9"/>
      <c r="C363" s="9"/>
      <c r="D363" s="9"/>
      <c r="E363" s="9"/>
    </row>
    <row r="364" spans="1:5" ht="12.75">
      <c r="A364" s="6"/>
      <c r="B364" s="9"/>
      <c r="C364" s="9"/>
      <c r="D364" s="9"/>
      <c r="E364" s="9"/>
    </row>
    <row r="365" spans="1:5" ht="12.75">
      <c r="A365" s="6"/>
      <c r="B365" s="9"/>
      <c r="C365" s="9"/>
      <c r="D365" s="9"/>
      <c r="E365" s="9"/>
    </row>
    <row r="366" spans="1:5" ht="12.75">
      <c r="A366" s="6"/>
      <c r="B366" s="9"/>
      <c r="C366" s="9"/>
      <c r="D366" s="9"/>
      <c r="E366" s="9"/>
    </row>
    <row r="367" spans="1:5" ht="12.75">
      <c r="A367" s="6"/>
      <c r="B367" s="9"/>
      <c r="C367" s="9"/>
      <c r="D367" s="9"/>
      <c r="E367" s="9"/>
    </row>
    <row r="368" spans="1:5" ht="12.75">
      <c r="A368" s="6"/>
      <c r="B368" s="9"/>
      <c r="C368" s="9"/>
      <c r="D368" s="9"/>
      <c r="E368" s="9"/>
    </row>
    <row r="369" spans="1:5" ht="12.75">
      <c r="A369" s="6"/>
      <c r="B369" s="9"/>
      <c r="C369" s="9"/>
      <c r="D369" s="9"/>
      <c r="E369" s="9"/>
    </row>
    <row r="370" spans="1:5" ht="12.75">
      <c r="A370" s="6"/>
      <c r="B370" s="9"/>
      <c r="C370" s="9"/>
      <c r="D370" s="9"/>
      <c r="E370" s="9"/>
    </row>
    <row r="371" spans="1:5" ht="12.75">
      <c r="A371" s="6"/>
      <c r="B371" s="9"/>
      <c r="C371" s="9"/>
      <c r="D371" s="9"/>
      <c r="E371" s="9"/>
    </row>
    <row r="372" spans="1:5" ht="12.75">
      <c r="A372" s="6"/>
      <c r="B372" s="9"/>
      <c r="C372" s="9"/>
      <c r="D372" s="9"/>
      <c r="E372" s="9"/>
    </row>
    <row r="373" spans="1:5" ht="12.75">
      <c r="A373" s="6"/>
      <c r="B373" s="9"/>
      <c r="C373" s="9"/>
      <c r="D373" s="9"/>
      <c r="E373" s="9"/>
    </row>
    <row r="374" spans="1:5" ht="12.75">
      <c r="A374" s="6"/>
      <c r="B374" s="9"/>
      <c r="C374" s="9"/>
      <c r="D374" s="9"/>
      <c r="E374" s="9"/>
    </row>
    <row r="375" spans="1:5" ht="12.75">
      <c r="A375" s="6"/>
      <c r="B375" s="9"/>
      <c r="C375" s="9"/>
      <c r="D375" s="9"/>
      <c r="E375" s="9"/>
    </row>
    <row r="376" spans="1:5" ht="12.75">
      <c r="A376" s="6"/>
      <c r="B376" s="9"/>
      <c r="C376" s="9"/>
      <c r="D376" s="9"/>
      <c r="E376" s="9"/>
    </row>
    <row r="377" spans="1:5" ht="12.75">
      <c r="A377" s="6"/>
      <c r="B377" s="9"/>
      <c r="C377" s="9"/>
      <c r="D377" s="9"/>
      <c r="E377" s="9"/>
    </row>
    <row r="378" spans="1:5" ht="12.75">
      <c r="A378" s="6"/>
      <c r="B378" s="9"/>
      <c r="C378" s="9"/>
      <c r="D378" s="9"/>
      <c r="E378" s="9"/>
    </row>
    <row r="379" spans="1:5" ht="12.75">
      <c r="A379" s="6"/>
      <c r="B379" s="9"/>
      <c r="C379" s="9"/>
      <c r="D379" s="9"/>
      <c r="E379" s="9"/>
    </row>
    <row r="380" spans="1:5" ht="12.75">
      <c r="A380" s="6"/>
      <c r="B380" s="9"/>
      <c r="C380" s="9"/>
      <c r="D380" s="9"/>
      <c r="E380" s="9"/>
    </row>
    <row r="381" spans="1:5" ht="12.75">
      <c r="A381" s="6"/>
      <c r="B381" s="9"/>
      <c r="C381" s="9"/>
      <c r="D381" s="9"/>
      <c r="E381" s="9"/>
    </row>
    <row r="382" spans="1:5" ht="12.75">
      <c r="A382" s="6"/>
      <c r="B382" s="9"/>
      <c r="C382" s="9"/>
      <c r="D382" s="9"/>
      <c r="E382" s="9"/>
    </row>
    <row r="383" spans="1:5" ht="12.75">
      <c r="A383" s="6"/>
      <c r="B383" s="9"/>
      <c r="C383" s="9"/>
      <c r="D383" s="9"/>
      <c r="E383" s="9"/>
    </row>
    <row r="384" spans="1:5" ht="12.75">
      <c r="A384" s="6"/>
      <c r="B384" s="9"/>
      <c r="C384" s="9"/>
      <c r="D384" s="9"/>
      <c r="E384" s="9"/>
    </row>
    <row r="385" spans="1:5" ht="12.75">
      <c r="A385" s="6"/>
      <c r="B385" s="9"/>
      <c r="C385" s="9"/>
      <c r="D385" s="9"/>
      <c r="E385" s="9"/>
    </row>
    <row r="386" spans="1:5" ht="12.75">
      <c r="A386" s="6"/>
      <c r="B386" s="9"/>
      <c r="C386" s="9"/>
      <c r="D386" s="9"/>
      <c r="E386" s="9"/>
    </row>
    <row r="387" spans="1:5" ht="12.75">
      <c r="A387" s="6"/>
      <c r="B387" s="9"/>
      <c r="C387" s="9"/>
      <c r="D387" s="9"/>
      <c r="E387" s="9"/>
    </row>
    <row r="388" spans="1:5" ht="12.75">
      <c r="A388" s="6"/>
      <c r="B388" s="9"/>
      <c r="C388" s="9"/>
      <c r="D388" s="9"/>
      <c r="E388" s="9"/>
    </row>
    <row r="389" spans="1:5" ht="12.75">
      <c r="A389" s="6"/>
      <c r="B389" s="9"/>
      <c r="C389" s="9"/>
      <c r="D389" s="9"/>
      <c r="E389" s="9"/>
    </row>
    <row r="390" spans="1:5" ht="12.75">
      <c r="A390" s="6"/>
      <c r="B390" s="9"/>
      <c r="C390" s="9"/>
      <c r="D390" s="9"/>
      <c r="E390" s="9"/>
    </row>
    <row r="391" spans="1:5" ht="12.75">
      <c r="A391" s="6"/>
      <c r="B391" s="9"/>
      <c r="C391" s="9"/>
      <c r="D391" s="9"/>
      <c r="E391" s="9"/>
    </row>
    <row r="392" spans="1:5" ht="12.75">
      <c r="A392" s="6"/>
      <c r="B392" s="9"/>
      <c r="C392" s="9"/>
      <c r="D392" s="9"/>
      <c r="E392" s="9"/>
    </row>
    <row r="393" spans="1:5" ht="12.75">
      <c r="A393" s="6"/>
      <c r="B393" s="9"/>
      <c r="C393" s="9"/>
      <c r="D393" s="9"/>
      <c r="E393" s="9"/>
    </row>
    <row r="394" spans="1:5" ht="12.75">
      <c r="A394" s="6"/>
      <c r="B394" s="9"/>
      <c r="C394" s="9"/>
      <c r="D394" s="9"/>
      <c r="E394" s="9"/>
    </row>
    <row r="395" spans="1:5" ht="12.75">
      <c r="A395" s="6"/>
      <c r="B395" s="9"/>
      <c r="C395" s="9"/>
      <c r="D395" s="9"/>
      <c r="E395" s="9"/>
    </row>
    <row r="396" spans="1:5" ht="12.75">
      <c r="A396" s="6"/>
      <c r="B396" s="9"/>
      <c r="C396" s="9"/>
      <c r="D396" s="9"/>
      <c r="E396" s="9"/>
    </row>
    <row r="397" spans="1:5" ht="12.75">
      <c r="A397" s="6"/>
      <c r="B397" s="9"/>
      <c r="C397" s="9"/>
      <c r="D397" s="9"/>
      <c r="E397" s="9"/>
    </row>
    <row r="398" spans="1:5" ht="12.75">
      <c r="A398" s="6"/>
      <c r="B398" s="9"/>
      <c r="C398" s="9"/>
      <c r="D398" s="9"/>
      <c r="E398" s="9"/>
    </row>
    <row r="399" spans="1:5" ht="12.75">
      <c r="A399" s="6"/>
      <c r="B399" s="9"/>
      <c r="C399" s="9"/>
      <c r="D399" s="9"/>
      <c r="E399" s="9"/>
    </row>
    <row r="400" spans="1:5" ht="12.75">
      <c r="A400" s="6"/>
      <c r="B400" s="9"/>
      <c r="C400" s="9"/>
      <c r="D400" s="9"/>
      <c r="E400" s="9"/>
    </row>
    <row r="401" spans="1:5" ht="12.75">
      <c r="A401" s="6"/>
      <c r="B401" s="9"/>
      <c r="C401" s="9"/>
      <c r="D401" s="9"/>
      <c r="E401" s="9"/>
    </row>
    <row r="402" spans="1:5" ht="12.75">
      <c r="A402" s="6"/>
      <c r="B402" s="9"/>
      <c r="C402" s="9"/>
      <c r="D402" s="9"/>
      <c r="E402" s="9"/>
    </row>
    <row r="403" spans="1:5" ht="12.75">
      <c r="A403" s="6"/>
      <c r="B403" s="9"/>
      <c r="C403" s="9"/>
      <c r="D403" s="9"/>
      <c r="E403" s="9"/>
    </row>
    <row r="404" spans="1:5" ht="12.75">
      <c r="A404" s="6"/>
      <c r="B404" s="9"/>
      <c r="C404" s="9"/>
      <c r="D404" s="9"/>
      <c r="E404" s="9"/>
    </row>
    <row r="405" spans="1:5" ht="12.75">
      <c r="A405" s="6"/>
      <c r="B405" s="9"/>
      <c r="C405" s="9"/>
      <c r="D405" s="9"/>
      <c r="E405" s="9"/>
    </row>
    <row r="406" spans="1:5" ht="12.75">
      <c r="A406" s="6"/>
      <c r="B406" s="9"/>
      <c r="C406" s="9"/>
      <c r="D406" s="9"/>
      <c r="E406" s="9"/>
    </row>
    <row r="407" spans="1:5" ht="12.75">
      <c r="A407" s="6"/>
      <c r="B407" s="9"/>
      <c r="C407" s="9"/>
      <c r="D407" s="9"/>
      <c r="E407" s="9"/>
    </row>
    <row r="408" spans="1:5" ht="12.75">
      <c r="A408" s="6"/>
      <c r="B408" s="9"/>
      <c r="C408" s="9"/>
      <c r="D408" s="9"/>
      <c r="E408" s="9"/>
    </row>
    <row r="409" spans="1:5" ht="12.75">
      <c r="A409" s="6"/>
      <c r="B409" s="9"/>
      <c r="C409" s="9"/>
      <c r="D409" s="9"/>
      <c r="E409" s="9"/>
    </row>
    <row r="410" spans="1:5" ht="12.75">
      <c r="A410" s="6"/>
      <c r="B410" s="9"/>
      <c r="C410" s="9"/>
      <c r="D410" s="9"/>
      <c r="E410" s="9"/>
    </row>
    <row r="411" spans="1:5" ht="12.75">
      <c r="A411" s="6"/>
      <c r="B411" s="9"/>
      <c r="C411" s="9"/>
      <c r="D411" s="9"/>
      <c r="E411" s="9"/>
    </row>
    <row r="412" spans="1:5" ht="12.75">
      <c r="A412" s="6"/>
      <c r="B412" s="9"/>
      <c r="C412" s="9"/>
      <c r="D412" s="9"/>
      <c r="E412" s="9"/>
    </row>
    <row r="413" spans="1:5" ht="12.75">
      <c r="A413" s="6"/>
      <c r="B413" s="9"/>
      <c r="C413" s="9"/>
      <c r="D413" s="9"/>
      <c r="E413" s="9"/>
    </row>
    <row r="414" spans="1:5" ht="12.75">
      <c r="A414" s="6"/>
      <c r="B414" s="9"/>
      <c r="C414" s="9"/>
      <c r="D414" s="9"/>
      <c r="E414" s="9"/>
    </row>
    <row r="415" spans="1:5" ht="12.75">
      <c r="A415" s="6"/>
      <c r="B415" s="9"/>
      <c r="C415" s="9"/>
      <c r="D415" s="9"/>
      <c r="E415" s="9"/>
    </row>
    <row r="416" spans="1:5" ht="12.75">
      <c r="A416" s="6"/>
      <c r="B416" s="9"/>
      <c r="C416" s="9"/>
      <c r="D416" s="9"/>
      <c r="E416" s="9"/>
    </row>
    <row r="417" spans="1:5" ht="12.75">
      <c r="A417" s="6"/>
      <c r="B417" s="9"/>
      <c r="C417" s="9"/>
      <c r="D417" s="9"/>
      <c r="E417" s="9"/>
    </row>
    <row r="418" spans="1:5" ht="12.75">
      <c r="A418" s="6"/>
      <c r="B418" s="9"/>
      <c r="C418" s="9"/>
      <c r="D418" s="9"/>
      <c r="E418" s="9"/>
    </row>
    <row r="419" spans="1:5" ht="12.75">
      <c r="A419" s="6"/>
      <c r="B419" s="9"/>
      <c r="C419" s="9"/>
      <c r="D419" s="9"/>
      <c r="E419" s="9"/>
    </row>
    <row r="420" spans="1:5" ht="12.75">
      <c r="A420" s="6"/>
      <c r="B420" s="9"/>
      <c r="C420" s="9"/>
      <c r="D420" s="9"/>
      <c r="E420" s="9"/>
    </row>
    <row r="421" spans="1:5" ht="12.75">
      <c r="A421" s="6"/>
      <c r="B421" s="9"/>
      <c r="C421" s="9"/>
      <c r="D421" s="9"/>
      <c r="E421" s="9"/>
    </row>
    <row r="422" spans="1:5" ht="12.75">
      <c r="A422" s="6"/>
      <c r="B422" s="9"/>
      <c r="C422" s="9"/>
      <c r="D422" s="9"/>
      <c r="E422" s="9"/>
    </row>
    <row r="423" spans="1:5" ht="12.75">
      <c r="A423" s="6"/>
      <c r="B423" s="9"/>
      <c r="C423" s="9"/>
      <c r="D423" s="9"/>
      <c r="E423" s="9"/>
    </row>
    <row r="424" spans="1:5" ht="12.75">
      <c r="A424" s="6"/>
      <c r="B424" s="9"/>
      <c r="C424" s="9"/>
      <c r="D424" s="9"/>
      <c r="E424" s="9"/>
    </row>
    <row r="425" spans="1:5" ht="12.75">
      <c r="A425" s="6"/>
      <c r="B425" s="9"/>
      <c r="C425" s="9"/>
      <c r="D425" s="9"/>
      <c r="E425" s="9"/>
    </row>
    <row r="426" spans="1:5" ht="12.75">
      <c r="A426" s="6"/>
      <c r="B426" s="9"/>
      <c r="C426" s="9"/>
      <c r="D426" s="9"/>
      <c r="E426" s="9"/>
    </row>
    <row r="427" spans="1:5" ht="12.75">
      <c r="A427" s="6"/>
      <c r="B427" s="9"/>
      <c r="C427" s="9"/>
      <c r="D427" s="9"/>
      <c r="E427" s="9"/>
    </row>
    <row r="428" spans="1:5" ht="12.75">
      <c r="A428" s="6"/>
      <c r="B428" s="9"/>
      <c r="C428" s="9"/>
      <c r="D428" s="9"/>
      <c r="E428" s="9"/>
    </row>
    <row r="429" spans="1:5" ht="12.75">
      <c r="A429" s="6"/>
      <c r="B429" s="9"/>
      <c r="C429" s="9"/>
      <c r="D429" s="9"/>
      <c r="E429" s="9"/>
    </row>
    <row r="430" spans="2:5" ht="12.75">
      <c r="B430" s="9"/>
      <c r="C430" s="9"/>
      <c r="D430" s="9"/>
      <c r="E430" s="9"/>
    </row>
    <row r="431" spans="2:5" ht="12.75">
      <c r="B431" s="9"/>
      <c r="C431" s="9"/>
      <c r="D431" s="9"/>
      <c r="E431" s="9"/>
    </row>
    <row r="432" spans="2:5" ht="12.75">
      <c r="B432" s="9"/>
      <c r="C432" s="9"/>
      <c r="D432" s="9"/>
      <c r="E432" s="9"/>
    </row>
    <row r="433" spans="2:5" ht="12.75">
      <c r="B433" s="9"/>
      <c r="C433" s="9"/>
      <c r="D433" s="9"/>
      <c r="E433" s="9"/>
    </row>
    <row r="434" spans="2:5" ht="12.75">
      <c r="B434" s="9"/>
      <c r="C434" s="9"/>
      <c r="D434" s="9"/>
      <c r="E434" s="9"/>
    </row>
    <row r="435" spans="2:5" ht="12.75">
      <c r="B435" s="9"/>
      <c r="C435" s="9"/>
      <c r="D435" s="9"/>
      <c r="E435" s="9"/>
    </row>
    <row r="436" spans="2:5" ht="12.75">
      <c r="B436" s="9"/>
      <c r="C436" s="9"/>
      <c r="D436" s="9"/>
      <c r="E436" s="9"/>
    </row>
    <row r="437" spans="2:5" ht="12.75">
      <c r="B437" s="9"/>
      <c r="C437" s="9"/>
      <c r="D437" s="9"/>
      <c r="E437" s="9"/>
    </row>
    <row r="438" spans="2:5" ht="12.75">
      <c r="B438" s="9"/>
      <c r="C438" s="9"/>
      <c r="D438" s="9"/>
      <c r="E438" s="9"/>
    </row>
    <row r="439" spans="2:5" ht="12.75">
      <c r="B439" s="9"/>
      <c r="C439" s="9"/>
      <c r="D439" s="9"/>
      <c r="E439" s="9"/>
    </row>
    <row r="440" spans="2:5" ht="12.75">
      <c r="B440" s="9"/>
      <c r="C440" s="9"/>
      <c r="D440" s="9"/>
      <c r="E440" s="9"/>
    </row>
    <row r="441" spans="2:5" ht="12.75">
      <c r="B441" s="9"/>
      <c r="C441" s="9"/>
      <c r="D441" s="9"/>
      <c r="E441" s="9"/>
    </row>
    <row r="442" spans="2:5" ht="12.75">
      <c r="B442" s="9"/>
      <c r="C442" s="9"/>
      <c r="D442" s="9"/>
      <c r="E442" s="9"/>
    </row>
    <row r="443" spans="2:5" ht="12.75">
      <c r="B443" s="9"/>
      <c r="C443" s="9"/>
      <c r="D443" s="9"/>
      <c r="E443" s="9"/>
    </row>
    <row r="444" spans="2:5" ht="12.75">
      <c r="B444" s="9"/>
      <c r="C444" s="9"/>
      <c r="D444" s="9"/>
      <c r="E444" s="9"/>
    </row>
    <row r="445" spans="2:5" ht="12.75">
      <c r="B445" s="9"/>
      <c r="C445" s="9"/>
      <c r="D445" s="9"/>
      <c r="E445" s="9"/>
    </row>
    <row r="446" spans="2:5" ht="12.75">
      <c r="B446" s="9"/>
      <c r="C446" s="9"/>
      <c r="D446" s="9"/>
      <c r="E446" s="9"/>
    </row>
    <row r="447" spans="2:5" ht="12.75">
      <c r="B447" s="9"/>
      <c r="C447" s="9"/>
      <c r="D447" s="9"/>
      <c r="E447" s="9"/>
    </row>
    <row r="448" spans="2:5" ht="12.75">
      <c r="B448" s="9"/>
      <c r="C448" s="9"/>
      <c r="D448" s="9"/>
      <c r="E448" s="9"/>
    </row>
    <row r="449" spans="2:5" ht="12.75">
      <c r="B449" s="9"/>
      <c r="C449" s="9"/>
      <c r="D449" s="9"/>
      <c r="E449" s="9"/>
    </row>
    <row r="450" spans="2:5" ht="12.75">
      <c r="B450" s="9"/>
      <c r="C450" s="9"/>
      <c r="D450" s="9"/>
      <c r="E450" s="9"/>
    </row>
    <row r="451" spans="2:5" ht="12.75">
      <c r="B451" s="9"/>
      <c r="C451" s="9"/>
      <c r="D451" s="9"/>
      <c r="E451" s="9"/>
    </row>
    <row r="452" spans="2:5" ht="12.75">
      <c r="B452" s="9"/>
      <c r="C452" s="9"/>
      <c r="D452" s="9"/>
      <c r="E452" s="9"/>
    </row>
    <row r="453" spans="2:5" ht="12.75">
      <c r="B453" s="9"/>
      <c r="C453" s="9"/>
      <c r="D453" s="9"/>
      <c r="E453" s="9"/>
    </row>
    <row r="454" spans="2:5" ht="12.75">
      <c r="B454" s="9"/>
      <c r="C454" s="9"/>
      <c r="D454" s="9"/>
      <c r="E454" s="9"/>
    </row>
    <row r="455" spans="2:5" ht="12.75">
      <c r="B455" s="9"/>
      <c r="C455" s="9"/>
      <c r="D455" s="9"/>
      <c r="E455" s="9"/>
    </row>
    <row r="456" spans="2:5" ht="12.75">
      <c r="B456" s="9"/>
      <c r="C456" s="9"/>
      <c r="D456" s="9"/>
      <c r="E456" s="9"/>
    </row>
    <row r="457" spans="2:5" ht="12.75">
      <c r="B457" s="9"/>
      <c r="C457" s="9"/>
      <c r="D457" s="9"/>
      <c r="E457" s="9"/>
    </row>
    <row r="458" spans="2:5" ht="12.75">
      <c r="B458" s="9"/>
      <c r="C458" s="9"/>
      <c r="D458" s="9"/>
      <c r="E458" s="9"/>
    </row>
    <row r="459" spans="2:5" ht="12.75">
      <c r="B459" s="9"/>
      <c r="C459" s="9"/>
      <c r="D459" s="9"/>
      <c r="E459" s="9"/>
    </row>
    <row r="460" spans="2:5" ht="12.75">
      <c r="B460" s="9"/>
      <c r="C460" s="9"/>
      <c r="D460" s="9"/>
      <c r="E460" s="9"/>
    </row>
    <row r="461" spans="2:5" ht="12.75">
      <c r="B461" s="9"/>
      <c r="C461" s="9"/>
      <c r="D461" s="9"/>
      <c r="E461" s="9"/>
    </row>
    <row r="462" spans="2:5" ht="12.75">
      <c r="B462" s="9"/>
      <c r="C462" s="9"/>
      <c r="D462" s="9"/>
      <c r="E462" s="9"/>
    </row>
    <row r="463" spans="2:5" ht="12.75">
      <c r="B463" s="9"/>
      <c r="C463" s="9"/>
      <c r="D463" s="9"/>
      <c r="E463" s="9"/>
    </row>
  </sheetData>
  <sheetProtection password="CC0D" sheet="1"/>
  <printOptions/>
  <pageMargins left="0.75" right="0"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dimension ref="A1:B552"/>
  <sheetViews>
    <sheetView showGridLines="0" zoomScalePageLayoutView="0" workbookViewId="0" topLeftCell="A1">
      <selection activeCell="A1" sqref="A1"/>
    </sheetView>
  </sheetViews>
  <sheetFormatPr defaultColWidth="9.140625" defaultRowHeight="12.75"/>
  <cols>
    <col min="1" max="1" width="6.421875" style="0" customWidth="1"/>
    <col min="2" max="2" width="72.28125" style="0" customWidth="1"/>
  </cols>
  <sheetData>
    <row r="1" ht="17.25">
      <c r="A1" s="23" t="str">
        <f>title1</f>
        <v>Retirement  Management  Services, LLC</v>
      </c>
    </row>
    <row r="2" ht="17.25">
      <c r="A2" s="24" t="str">
        <f>Title2</f>
        <v>Retirement  Savings  Calculator,  Version  24.1   (Release 12-11-2023)</v>
      </c>
    </row>
    <row r="3" ht="6.75" customHeight="1"/>
    <row r="4" ht="17.25">
      <c r="A4" s="25" t="s">
        <v>49</v>
      </c>
    </row>
    <row r="6" ht="12.75">
      <c r="A6" s="20" t="s">
        <v>23</v>
      </c>
    </row>
    <row r="8" spans="1:2" ht="26.25">
      <c r="A8" s="8">
        <v>2.01</v>
      </c>
      <c r="B8" s="8" t="s">
        <v>50</v>
      </c>
    </row>
    <row r="9" spans="1:2" ht="12.75">
      <c r="A9" s="8"/>
      <c r="B9" s="8"/>
    </row>
    <row r="10" spans="1:2" ht="12.75">
      <c r="A10" s="8">
        <f>A8+0.01</f>
        <v>2.0199999999999996</v>
      </c>
      <c r="B10" s="8" t="s">
        <v>51</v>
      </c>
    </row>
    <row r="11" spans="1:2" ht="12.75">
      <c r="A11" s="8"/>
      <c r="B11" s="8"/>
    </row>
    <row r="12" spans="1:2" ht="26.25">
      <c r="A12" s="8">
        <f>A10+0.01</f>
        <v>2.0299999999999994</v>
      </c>
      <c r="B12" s="8" t="s">
        <v>52</v>
      </c>
    </row>
    <row r="13" spans="1:2" ht="12.75">
      <c r="A13" s="8"/>
      <c r="B13" s="8"/>
    </row>
    <row r="14" spans="1:2" ht="26.25">
      <c r="A14" s="8">
        <f>A12+0.01</f>
        <v>2.039999999999999</v>
      </c>
      <c r="B14" s="8" t="s">
        <v>53</v>
      </c>
    </row>
    <row r="15" spans="1:2" ht="12.75">
      <c r="A15" s="8"/>
      <c r="B15" s="8"/>
    </row>
    <row r="16" spans="1:2" ht="13.5" customHeight="1">
      <c r="A16" s="8">
        <f>A14+0.01</f>
        <v>2.049999999999999</v>
      </c>
      <c r="B16" s="8" t="s">
        <v>54</v>
      </c>
    </row>
    <row r="17" spans="1:2" ht="12.75">
      <c r="A17" s="8"/>
      <c r="B17" s="8" t="s">
        <v>55</v>
      </c>
    </row>
    <row r="18" spans="1:2" ht="12.75">
      <c r="A18" s="8"/>
      <c r="B18" s="8" t="s">
        <v>56</v>
      </c>
    </row>
    <row r="19" spans="1:2" ht="24.75" customHeight="1">
      <c r="A19" s="8"/>
      <c r="B19" s="8" t="s">
        <v>57</v>
      </c>
    </row>
    <row r="20" spans="1:2" ht="14.25" customHeight="1">
      <c r="A20" s="8"/>
      <c r="B20" s="8" t="s">
        <v>58</v>
      </c>
    </row>
    <row r="21" spans="1:2" ht="23.25" customHeight="1">
      <c r="A21" s="8"/>
      <c r="B21" s="8" t="s">
        <v>59</v>
      </c>
    </row>
    <row r="22" spans="1:2" ht="12.75">
      <c r="A22" s="8"/>
      <c r="B22" s="8" t="s">
        <v>60</v>
      </c>
    </row>
    <row r="23" spans="1:2" ht="12.75">
      <c r="A23" s="8"/>
      <c r="B23" s="8" t="s">
        <v>61</v>
      </c>
    </row>
    <row r="24" spans="1:2" ht="12.75">
      <c r="A24" s="8"/>
      <c r="B24" s="8"/>
    </row>
    <row r="25" spans="1:2" ht="26.25">
      <c r="A25" s="8">
        <f>A16+0.01</f>
        <v>2.0599999999999987</v>
      </c>
      <c r="B25" s="8" t="s">
        <v>62</v>
      </c>
    </row>
    <row r="26" spans="1:2" ht="12.75">
      <c r="A26" s="8"/>
      <c r="B26" s="8" t="s">
        <v>63</v>
      </c>
    </row>
    <row r="27" spans="1:2" ht="12.75">
      <c r="A27" s="8"/>
      <c r="B27" s="8"/>
    </row>
    <row r="28" spans="1:2" ht="26.25">
      <c r="A28" s="8">
        <f>A25+0.01</f>
        <v>2.0699999999999985</v>
      </c>
      <c r="B28" s="8" t="s">
        <v>64</v>
      </c>
    </row>
    <row r="29" spans="1:2" ht="12.75">
      <c r="A29" s="8"/>
      <c r="B29" s="8"/>
    </row>
    <row r="30" spans="1:2" ht="26.25">
      <c r="A30" s="8">
        <f>A28+0.01</f>
        <v>2.0799999999999983</v>
      </c>
      <c r="B30" s="8" t="s">
        <v>65</v>
      </c>
    </row>
    <row r="31" spans="1:2" ht="12.75">
      <c r="A31" s="8"/>
      <c r="B31" s="8"/>
    </row>
    <row r="32" spans="1:2" ht="12.75">
      <c r="A32" s="8">
        <f>A30+0.01</f>
        <v>2.089999999999998</v>
      </c>
      <c r="B32" s="8" t="s">
        <v>66</v>
      </c>
    </row>
    <row r="33" spans="1:2" ht="12.75">
      <c r="A33" s="8"/>
      <c r="B33" s="8"/>
    </row>
    <row r="34" spans="1:2" ht="12.75">
      <c r="A34" s="8"/>
      <c r="B34" s="14" t="s">
        <v>21</v>
      </c>
    </row>
    <row r="35" spans="1:2" ht="12.75">
      <c r="A35" s="8"/>
      <c r="B35" s="8"/>
    </row>
    <row r="36" spans="1:2" ht="12.75">
      <c r="A36" s="8"/>
      <c r="B36" s="8"/>
    </row>
    <row r="37" spans="1:2" ht="12.75">
      <c r="A37" s="8"/>
      <c r="B37" s="8"/>
    </row>
    <row r="38" spans="1:2" ht="12.75">
      <c r="A38" s="8"/>
      <c r="B38" s="8"/>
    </row>
    <row r="39" spans="1:2" ht="12.75">
      <c r="A39" s="8"/>
      <c r="B39" s="8"/>
    </row>
    <row r="40" spans="1:2" ht="12.75">
      <c r="A40" s="8"/>
      <c r="B40" s="8"/>
    </row>
    <row r="41" spans="1:2" ht="12.75">
      <c r="A41" s="8"/>
      <c r="B41" s="8"/>
    </row>
    <row r="42" spans="1:2" ht="12.75">
      <c r="A42" s="8"/>
      <c r="B42" s="8"/>
    </row>
    <row r="43" spans="1:2" ht="12.75">
      <c r="A43" s="8"/>
      <c r="B43" s="8"/>
    </row>
    <row r="44" spans="1:2" ht="12.75">
      <c r="A44" s="8"/>
      <c r="B44" s="8"/>
    </row>
    <row r="45" spans="1:2" ht="12.75">
      <c r="A45" s="8"/>
      <c r="B45" s="8"/>
    </row>
    <row r="46" spans="1:2" ht="12.75">
      <c r="A46" s="8"/>
      <c r="B46" s="8"/>
    </row>
    <row r="47" spans="1:2" ht="12.75">
      <c r="A47" s="8"/>
      <c r="B47" s="8"/>
    </row>
    <row r="48" spans="1:2" ht="12.75">
      <c r="A48" s="8"/>
      <c r="B48" s="8"/>
    </row>
    <row r="49" spans="1:2" ht="12.75">
      <c r="A49" s="8"/>
      <c r="B49" s="8"/>
    </row>
    <row r="50" spans="1:2" ht="12.75">
      <c r="A50" s="8"/>
      <c r="B50" s="8"/>
    </row>
    <row r="51" spans="1:2" ht="12.75">
      <c r="A51" s="8"/>
      <c r="B51" s="8"/>
    </row>
    <row r="52" spans="1:2" ht="12.75">
      <c r="A52" s="8"/>
      <c r="B52" s="8"/>
    </row>
    <row r="53" spans="1:2" ht="12.75">
      <c r="A53" s="8"/>
      <c r="B53" s="8"/>
    </row>
    <row r="54" spans="1:2" ht="12.75">
      <c r="A54" s="8"/>
      <c r="B54" s="8"/>
    </row>
    <row r="55" spans="1:2" ht="12.75">
      <c r="A55" s="8"/>
      <c r="B55" s="8"/>
    </row>
    <row r="56" spans="1:2" ht="12.75">
      <c r="A56" s="8"/>
      <c r="B56" s="8"/>
    </row>
    <row r="57" spans="1:2" ht="12.75">
      <c r="A57" s="8"/>
      <c r="B57" s="8"/>
    </row>
    <row r="58" spans="1:2" ht="12.75">
      <c r="A58" s="8"/>
      <c r="B58" s="8"/>
    </row>
    <row r="59" spans="1:2" ht="12.75">
      <c r="A59" s="8"/>
      <c r="B59" s="8"/>
    </row>
    <row r="60" spans="1:2" ht="12.75">
      <c r="A60" s="8"/>
      <c r="B60" s="8"/>
    </row>
    <row r="61" spans="1:2" ht="12.75">
      <c r="A61" s="8"/>
      <c r="B61" s="8"/>
    </row>
    <row r="62" spans="1:2" ht="12.75">
      <c r="A62" s="8"/>
      <c r="B62" s="8"/>
    </row>
    <row r="63" spans="1:2" ht="12.75">
      <c r="A63" s="8"/>
      <c r="B63" s="8"/>
    </row>
    <row r="64" spans="1:2" ht="12.75">
      <c r="A64" s="8"/>
      <c r="B64" s="8"/>
    </row>
    <row r="65" spans="1:2" ht="12.75">
      <c r="A65" s="8"/>
      <c r="B65" s="8"/>
    </row>
    <row r="66" spans="1:2" ht="12.75">
      <c r="A66" s="8"/>
      <c r="B66" s="8"/>
    </row>
    <row r="67" spans="1:2" ht="12.75">
      <c r="A67" s="8"/>
      <c r="B67" s="8"/>
    </row>
    <row r="68" spans="1:2" ht="12.75">
      <c r="A68" s="8"/>
      <c r="B68" s="8"/>
    </row>
    <row r="69" spans="1:2" ht="12.75">
      <c r="A69" s="8"/>
      <c r="B69" s="8"/>
    </row>
    <row r="70" spans="1:2" ht="12.75">
      <c r="A70" s="8"/>
      <c r="B70" s="8"/>
    </row>
    <row r="71" spans="1:2" ht="12.75">
      <c r="A71" s="8"/>
      <c r="B71" s="8"/>
    </row>
    <row r="72" spans="1:2" ht="12.75">
      <c r="A72" s="8"/>
      <c r="B72" s="8"/>
    </row>
    <row r="73" spans="1:2" ht="12.75">
      <c r="A73" s="8"/>
      <c r="B73" s="8"/>
    </row>
    <row r="74" spans="1:2" ht="12.75">
      <c r="A74" s="8"/>
      <c r="B74" s="8"/>
    </row>
    <row r="75" spans="1:2" ht="12.75">
      <c r="A75" s="8"/>
      <c r="B75" s="8"/>
    </row>
    <row r="76" spans="1:2" ht="12.75">
      <c r="A76" s="8"/>
      <c r="B76" s="8"/>
    </row>
    <row r="77" spans="1:2" ht="12.75">
      <c r="A77" s="8"/>
      <c r="B77" s="8"/>
    </row>
    <row r="78" spans="1:2" ht="12.75">
      <c r="A78" s="8"/>
      <c r="B78" s="8"/>
    </row>
    <row r="79" spans="1:2" ht="12.75">
      <c r="A79" s="8"/>
      <c r="B79" s="8"/>
    </row>
    <row r="80" spans="1:2" ht="12.75">
      <c r="A80" s="8"/>
      <c r="B80" s="8"/>
    </row>
    <row r="81" spans="1:2" ht="12.75">
      <c r="A81" s="8"/>
      <c r="B81" s="8"/>
    </row>
    <row r="82" spans="1:2" ht="12.75">
      <c r="A82" s="8"/>
      <c r="B82" s="8"/>
    </row>
    <row r="83" spans="1:2" ht="12.75">
      <c r="A83" s="8"/>
      <c r="B83" s="8"/>
    </row>
    <row r="84" spans="1:2" ht="12.75">
      <c r="A84" s="8"/>
      <c r="B84" s="8"/>
    </row>
    <row r="85" spans="1:2" ht="12.75">
      <c r="A85" s="8"/>
      <c r="B85" s="8"/>
    </row>
    <row r="86" spans="1:2" ht="12.75">
      <c r="A86" s="8"/>
      <c r="B86" s="8"/>
    </row>
    <row r="87" spans="1:2" ht="12.75">
      <c r="A87" s="8"/>
      <c r="B87" s="8"/>
    </row>
    <row r="88" spans="1:2" ht="12.75">
      <c r="A88" s="8"/>
      <c r="B88" s="8"/>
    </row>
    <row r="89" spans="1:2" ht="12.75">
      <c r="A89" s="8"/>
      <c r="B89" s="8"/>
    </row>
    <row r="90" spans="1:2" ht="12.75">
      <c r="A90" s="8"/>
      <c r="B90" s="8"/>
    </row>
    <row r="91" spans="1:2" ht="12.75">
      <c r="A91" s="8"/>
      <c r="B91" s="8"/>
    </row>
    <row r="92" spans="1:2" ht="12.75">
      <c r="A92" s="8"/>
      <c r="B92" s="8"/>
    </row>
    <row r="93" spans="1:2" ht="12.75">
      <c r="A93" s="8"/>
      <c r="B93" s="8"/>
    </row>
    <row r="94" spans="1:2" ht="12.75">
      <c r="A94" s="8"/>
      <c r="B94" s="8"/>
    </row>
    <row r="95" spans="1:2" ht="12.75">
      <c r="A95" s="8"/>
      <c r="B95" s="8"/>
    </row>
    <row r="96" spans="1:2" ht="12.75">
      <c r="A96" s="8"/>
      <c r="B96" s="8"/>
    </row>
    <row r="97" spans="1:2" ht="12.75">
      <c r="A97" s="8"/>
      <c r="B97" s="8"/>
    </row>
    <row r="98" spans="1:2" ht="12.75">
      <c r="A98" s="8"/>
      <c r="B98" s="8"/>
    </row>
    <row r="99" spans="1:2" ht="12.75">
      <c r="A99" s="8"/>
      <c r="B99" s="8"/>
    </row>
    <row r="100" spans="1:2" ht="12.75">
      <c r="A100" s="8"/>
      <c r="B100" s="8"/>
    </row>
    <row r="101" spans="1:2" ht="12.75">
      <c r="A101" s="8"/>
      <c r="B101" s="8"/>
    </row>
    <row r="102" spans="1:2" ht="12.75">
      <c r="A102" s="8"/>
      <c r="B102" s="8"/>
    </row>
    <row r="103" spans="1:2" ht="12.75">
      <c r="A103" s="8"/>
      <c r="B103" s="8"/>
    </row>
    <row r="104" spans="1:2" ht="12.75">
      <c r="A104" s="8"/>
      <c r="B104" s="8"/>
    </row>
    <row r="105" spans="1:2" ht="12.75">
      <c r="A105" s="8"/>
      <c r="B105" s="8"/>
    </row>
    <row r="106" spans="1:2" ht="12.75">
      <c r="A106" s="8"/>
      <c r="B106" s="8"/>
    </row>
    <row r="107" spans="1:2" ht="12.75">
      <c r="A107" s="8"/>
      <c r="B107" s="8"/>
    </row>
    <row r="108" spans="1:2" ht="12.75">
      <c r="A108" s="8"/>
      <c r="B108" s="8"/>
    </row>
    <row r="109" spans="1:2" ht="12.75">
      <c r="A109" s="8"/>
      <c r="B109" s="8"/>
    </row>
    <row r="110" spans="1:2" ht="12.75">
      <c r="A110" s="8"/>
      <c r="B110" s="8"/>
    </row>
    <row r="111" spans="1:2" ht="12.75">
      <c r="A111" s="8"/>
      <c r="B111" s="8"/>
    </row>
    <row r="112" spans="1:2" ht="12.75">
      <c r="A112" s="8"/>
      <c r="B112" s="8"/>
    </row>
    <row r="113" spans="1:2" ht="12.75">
      <c r="A113" s="8"/>
      <c r="B113" s="8"/>
    </row>
    <row r="114" spans="1:2" ht="12.75">
      <c r="A114" s="8"/>
      <c r="B114" s="8"/>
    </row>
    <row r="115" spans="1:2" ht="12.75">
      <c r="A115" s="8"/>
      <c r="B115" s="8"/>
    </row>
    <row r="116" spans="1:2" ht="12.75">
      <c r="A116" s="8"/>
      <c r="B116" s="8"/>
    </row>
    <row r="117" spans="1:2" ht="12.75">
      <c r="A117" s="8"/>
      <c r="B117" s="8"/>
    </row>
    <row r="118" spans="1:2" ht="12.75">
      <c r="A118" s="8"/>
      <c r="B118" s="8"/>
    </row>
    <row r="119" spans="1:2" ht="12.75">
      <c r="A119" s="8"/>
      <c r="B119" s="8"/>
    </row>
    <row r="120" spans="1:2" ht="12.75">
      <c r="A120" s="8"/>
      <c r="B120" s="8"/>
    </row>
    <row r="121" spans="1:2" ht="12.75">
      <c r="A121" s="8"/>
      <c r="B121" s="8"/>
    </row>
    <row r="122" spans="1:2" ht="12.75">
      <c r="A122" s="8"/>
      <c r="B122" s="8"/>
    </row>
    <row r="123" spans="1:2" ht="12.75">
      <c r="A123" s="8"/>
      <c r="B123" s="8"/>
    </row>
    <row r="124" spans="1:2" ht="12.75">
      <c r="A124" s="8"/>
      <c r="B124" s="8"/>
    </row>
    <row r="125" spans="1:2" ht="12.75">
      <c r="A125" s="8"/>
      <c r="B125" s="8"/>
    </row>
    <row r="126" spans="1:2" ht="12.75">
      <c r="A126" s="8"/>
      <c r="B126" s="8"/>
    </row>
    <row r="127" spans="1:2" ht="12.75">
      <c r="A127" s="8"/>
      <c r="B127" s="8"/>
    </row>
    <row r="128" spans="1:2" ht="12.75">
      <c r="A128" s="8"/>
      <c r="B128" s="8"/>
    </row>
    <row r="129" spans="1:2" ht="12.75">
      <c r="A129" s="8"/>
      <c r="B129" s="8"/>
    </row>
    <row r="130" spans="1:2" ht="12.75">
      <c r="A130" s="8"/>
      <c r="B130" s="8"/>
    </row>
    <row r="131" spans="1:2" ht="12.75">
      <c r="A131" s="8"/>
      <c r="B131" s="8"/>
    </row>
    <row r="132" spans="1:2" ht="12.75">
      <c r="A132" s="8"/>
      <c r="B132" s="8"/>
    </row>
    <row r="133" spans="1:2" ht="12.75">
      <c r="A133" s="8"/>
      <c r="B133" s="8"/>
    </row>
    <row r="134" spans="1:2" ht="12.75">
      <c r="A134" s="8"/>
      <c r="B134" s="8"/>
    </row>
    <row r="135" spans="1:2" ht="12.75">
      <c r="A135" s="8"/>
      <c r="B135" s="8"/>
    </row>
    <row r="136" spans="1:2" ht="12.75">
      <c r="A136" s="8"/>
      <c r="B136" s="8"/>
    </row>
    <row r="137" spans="1:2" ht="12.75">
      <c r="A137" s="8"/>
      <c r="B137" s="8"/>
    </row>
    <row r="138" spans="1:2" ht="12.75">
      <c r="A138" s="8"/>
      <c r="B138" s="8"/>
    </row>
    <row r="139" spans="1:2" ht="12.75">
      <c r="A139" s="8"/>
      <c r="B139" s="8"/>
    </row>
    <row r="140" spans="1:2" ht="12.75">
      <c r="A140" s="8"/>
      <c r="B140" s="8"/>
    </row>
    <row r="141" spans="1:2" ht="12.75">
      <c r="A141" s="8"/>
      <c r="B141" s="8"/>
    </row>
    <row r="142" spans="1:2" ht="12.75">
      <c r="A142" s="8"/>
      <c r="B142" s="8"/>
    </row>
    <row r="143" spans="1:2" ht="12.75">
      <c r="A143" s="8"/>
      <c r="B143" s="8"/>
    </row>
    <row r="144" spans="1:2" ht="12.75">
      <c r="A144" s="8"/>
      <c r="B144" s="8"/>
    </row>
    <row r="145" spans="1:2" ht="12.75">
      <c r="A145" s="8"/>
      <c r="B145" s="8"/>
    </row>
    <row r="146" spans="1:2" ht="12.75">
      <c r="A146" s="8"/>
      <c r="B146" s="8"/>
    </row>
    <row r="147" spans="1:2" ht="12.75">
      <c r="A147" s="8"/>
      <c r="B147" s="8"/>
    </row>
    <row r="148" spans="1:2" ht="12.75">
      <c r="A148" s="8"/>
      <c r="B148" s="8"/>
    </row>
    <row r="149" spans="1:2" ht="12.75">
      <c r="A149" s="8"/>
      <c r="B149" s="8"/>
    </row>
    <row r="150" spans="1:2" ht="12.75">
      <c r="A150" s="8"/>
      <c r="B150" s="8"/>
    </row>
    <row r="151" spans="1:2" ht="12.75">
      <c r="A151" s="8"/>
      <c r="B151" s="8"/>
    </row>
    <row r="152" spans="1:2" ht="12.75">
      <c r="A152" s="8"/>
      <c r="B152" s="8"/>
    </row>
    <row r="153" spans="1:2" ht="12.75">
      <c r="A153" s="8"/>
      <c r="B153" s="8"/>
    </row>
    <row r="154" spans="1:2" ht="12.75">
      <c r="A154" s="8"/>
      <c r="B154" s="8"/>
    </row>
    <row r="155" spans="1:2" ht="12.75">
      <c r="A155" s="8"/>
      <c r="B155" s="8"/>
    </row>
    <row r="156" spans="1:2" ht="12.75">
      <c r="A156" s="8"/>
      <c r="B156" s="8"/>
    </row>
    <row r="157" spans="1:2" ht="12.75">
      <c r="A157" s="8"/>
      <c r="B157" s="8"/>
    </row>
    <row r="158" spans="1:2" ht="12.75">
      <c r="A158" s="8"/>
      <c r="B158" s="8"/>
    </row>
    <row r="159" spans="1:2" ht="12.75">
      <c r="A159" s="8"/>
      <c r="B159" s="8"/>
    </row>
    <row r="160" spans="1:2" ht="12.75">
      <c r="A160" s="8"/>
      <c r="B160" s="8"/>
    </row>
    <row r="161" spans="1:2" ht="12.75">
      <c r="A161" s="8"/>
      <c r="B161" s="8"/>
    </row>
    <row r="162" spans="1:2" ht="12.75">
      <c r="A162" s="8"/>
      <c r="B162" s="8"/>
    </row>
    <row r="163" spans="1:2" ht="12.75">
      <c r="A163" s="8"/>
      <c r="B163" s="8"/>
    </row>
    <row r="164" spans="1:2" ht="12.75">
      <c r="A164" s="8"/>
      <c r="B164" s="8"/>
    </row>
    <row r="165" spans="1:2" ht="12.75">
      <c r="A165" s="8"/>
      <c r="B165" s="8"/>
    </row>
    <row r="166" spans="1:2" ht="12.75">
      <c r="A166" s="8"/>
      <c r="B166" s="8"/>
    </row>
    <row r="167" spans="1:2" ht="12.75">
      <c r="A167" s="8"/>
      <c r="B167" s="8"/>
    </row>
    <row r="168" spans="1:2" ht="12.75">
      <c r="A168" s="8"/>
      <c r="B168" s="8"/>
    </row>
    <row r="169" spans="1:2" ht="12.75">
      <c r="A169" s="8"/>
      <c r="B169" s="8"/>
    </row>
    <row r="170" spans="1:2" ht="12.75">
      <c r="A170" s="8"/>
      <c r="B170" s="8"/>
    </row>
    <row r="171" spans="1:2" ht="12.75">
      <c r="A171" s="8"/>
      <c r="B171" s="8"/>
    </row>
    <row r="172" spans="1:2" ht="12.75">
      <c r="A172" s="8"/>
      <c r="B172" s="8"/>
    </row>
    <row r="173" spans="1:2" ht="12.75">
      <c r="A173" s="8"/>
      <c r="B173" s="8"/>
    </row>
    <row r="174" spans="1:2" ht="12.75">
      <c r="A174" s="8"/>
      <c r="B174" s="8"/>
    </row>
    <row r="175" spans="1:2" ht="12.75">
      <c r="A175" s="8"/>
      <c r="B175" s="8"/>
    </row>
    <row r="176" spans="1:2" ht="12.75">
      <c r="A176" s="8"/>
      <c r="B176" s="8"/>
    </row>
    <row r="177" spans="1:2" ht="12.75">
      <c r="A177" s="8"/>
      <c r="B177" s="8"/>
    </row>
    <row r="178" spans="1:2" ht="12.75">
      <c r="A178" s="8"/>
      <c r="B178" s="8"/>
    </row>
    <row r="179" spans="1:2" ht="12.75">
      <c r="A179" s="8"/>
      <c r="B179" s="8"/>
    </row>
    <row r="180" spans="1:2" ht="12.75">
      <c r="A180" s="8"/>
      <c r="B180" s="8"/>
    </row>
    <row r="181" spans="1:2" ht="12.75">
      <c r="A181" s="8"/>
      <c r="B181" s="8"/>
    </row>
    <row r="182" spans="1:2" ht="12.75">
      <c r="A182" s="8"/>
      <c r="B182" s="8"/>
    </row>
    <row r="183" spans="1:2" ht="12.75">
      <c r="A183" s="8"/>
      <c r="B183" s="8"/>
    </row>
    <row r="184" spans="1:2" ht="12.75">
      <c r="A184" s="8"/>
      <c r="B184" s="8"/>
    </row>
    <row r="185" spans="1:2" ht="12.75">
      <c r="A185" s="8"/>
      <c r="B185" s="8"/>
    </row>
    <row r="186" spans="1:2" ht="12.75">
      <c r="A186" s="8"/>
      <c r="B186" s="8"/>
    </row>
    <row r="187" spans="1:2" ht="12.75">
      <c r="A187" s="8"/>
      <c r="B187" s="8"/>
    </row>
    <row r="188" spans="1:2" ht="12.75">
      <c r="A188" s="8"/>
      <c r="B188" s="8"/>
    </row>
    <row r="189" spans="1:2" ht="12.75">
      <c r="A189" s="8"/>
      <c r="B189" s="8"/>
    </row>
    <row r="190" spans="1:2" ht="12.75">
      <c r="A190" s="8"/>
      <c r="B190" s="8"/>
    </row>
    <row r="191" spans="1:2" ht="12.75">
      <c r="A191" s="8"/>
      <c r="B191" s="8"/>
    </row>
    <row r="192" spans="1:2" ht="12.75">
      <c r="A192" s="8"/>
      <c r="B192" s="8"/>
    </row>
    <row r="193" spans="1:2" ht="12.75">
      <c r="A193" s="8"/>
      <c r="B193" s="8"/>
    </row>
    <row r="194" spans="1:2" ht="12.75">
      <c r="A194" s="8"/>
      <c r="B194" s="8"/>
    </row>
    <row r="195" spans="1:2" ht="12.75">
      <c r="A195" s="8"/>
      <c r="B195" s="8"/>
    </row>
    <row r="196" spans="1:2" ht="12.75">
      <c r="A196" s="8"/>
      <c r="B196" s="8"/>
    </row>
    <row r="197" spans="1:2" ht="12.75">
      <c r="A197" s="8"/>
      <c r="B197" s="8"/>
    </row>
    <row r="198" spans="1:2" ht="12.75">
      <c r="A198" s="8"/>
      <c r="B198" s="8"/>
    </row>
    <row r="199" spans="1:2" ht="12.75">
      <c r="A199" s="8"/>
      <c r="B199" s="8"/>
    </row>
    <row r="200" spans="1:2" ht="12.75">
      <c r="A200" s="8"/>
      <c r="B200" s="8"/>
    </row>
    <row r="201" spans="1:2" ht="12.75">
      <c r="A201" s="8"/>
      <c r="B201" s="8"/>
    </row>
    <row r="202" spans="1:2" ht="12.75">
      <c r="A202" s="8"/>
      <c r="B202" s="8"/>
    </row>
    <row r="203" spans="1:2" ht="12.75">
      <c r="A203" s="8"/>
      <c r="B203" s="8"/>
    </row>
    <row r="204" spans="1:2" ht="12.75">
      <c r="A204" s="8"/>
      <c r="B204" s="8"/>
    </row>
    <row r="205" spans="1:2" ht="12.75">
      <c r="A205" s="8"/>
      <c r="B205" s="8"/>
    </row>
    <row r="206" spans="1:2" ht="12.75">
      <c r="A206" s="8"/>
      <c r="B206" s="8"/>
    </row>
    <row r="207" spans="1:2" ht="12.75">
      <c r="A207" s="8"/>
      <c r="B207" s="8"/>
    </row>
    <row r="208" spans="1:2" ht="12.75">
      <c r="A208" s="8"/>
      <c r="B208" s="8"/>
    </row>
    <row r="209" spans="1:2" ht="12.75">
      <c r="A209" s="8"/>
      <c r="B209" s="8"/>
    </row>
    <row r="210" spans="1:2" ht="12.75">
      <c r="A210" s="8"/>
      <c r="B210" s="8"/>
    </row>
    <row r="211" spans="1:2" ht="12.75">
      <c r="A211" s="8"/>
      <c r="B211" s="8"/>
    </row>
    <row r="212" spans="1:2" ht="12.75">
      <c r="A212" s="8"/>
      <c r="B212" s="8"/>
    </row>
    <row r="213" spans="1:2" ht="12.75">
      <c r="A213" s="8"/>
      <c r="B213" s="8"/>
    </row>
    <row r="214" spans="1:2" ht="12.75">
      <c r="A214" s="8"/>
      <c r="B214" s="8"/>
    </row>
    <row r="215" spans="1:2" ht="12.75">
      <c r="A215" s="8"/>
      <c r="B215" s="8"/>
    </row>
    <row r="216" spans="1:2" ht="12.75">
      <c r="A216" s="8"/>
      <c r="B216" s="8"/>
    </row>
    <row r="217" spans="1:2" ht="12.75">
      <c r="A217" s="8"/>
      <c r="B217" s="8"/>
    </row>
    <row r="218" spans="1:2" ht="12.75">
      <c r="A218" s="8"/>
      <c r="B218" s="8"/>
    </row>
    <row r="219" spans="1:2" ht="12.75">
      <c r="A219" s="8"/>
      <c r="B219" s="8"/>
    </row>
    <row r="220" spans="1:2" ht="12.75">
      <c r="A220" s="8"/>
      <c r="B220" s="8"/>
    </row>
    <row r="221" spans="1:2" ht="12.75">
      <c r="A221" s="8"/>
      <c r="B221" s="8"/>
    </row>
    <row r="222" spans="1:2" ht="12.75">
      <c r="A222" s="8"/>
      <c r="B222" s="8"/>
    </row>
    <row r="223" spans="1:2" ht="12.75">
      <c r="A223" s="8"/>
      <c r="B223" s="8"/>
    </row>
    <row r="224" spans="1:2" ht="12.75">
      <c r="A224" s="8"/>
      <c r="B224" s="8"/>
    </row>
    <row r="225" spans="1:2" ht="12.75">
      <c r="A225" s="8"/>
      <c r="B225" s="8"/>
    </row>
    <row r="226" spans="1:2" ht="12.75">
      <c r="A226" s="8"/>
      <c r="B226" s="8"/>
    </row>
    <row r="227" spans="1:2" ht="12.75">
      <c r="A227" s="8"/>
      <c r="B227" s="8"/>
    </row>
    <row r="228" spans="1:2" ht="12.75">
      <c r="A228" s="8"/>
      <c r="B228" s="8"/>
    </row>
    <row r="229" spans="1:2" ht="12.75">
      <c r="A229" s="8"/>
      <c r="B229" s="8"/>
    </row>
    <row r="230" spans="1:2" ht="12.75">
      <c r="A230" s="8"/>
      <c r="B230" s="8"/>
    </row>
    <row r="231" spans="1:2" ht="12.75">
      <c r="A231" s="8"/>
      <c r="B231" s="8"/>
    </row>
    <row r="232" spans="1:2" ht="12.75">
      <c r="A232" s="8"/>
      <c r="B232" s="8"/>
    </row>
    <row r="233" spans="1:2" ht="12.75">
      <c r="A233" s="8"/>
      <c r="B233" s="8"/>
    </row>
    <row r="234" spans="1:2" ht="12.75">
      <c r="A234" s="8"/>
      <c r="B234" s="8"/>
    </row>
    <row r="235" spans="1:2" ht="12.75">
      <c r="A235" s="8"/>
      <c r="B235" s="8"/>
    </row>
    <row r="236" spans="1:2" ht="12.75">
      <c r="A236" s="8"/>
      <c r="B236" s="8"/>
    </row>
    <row r="237" spans="1:2" ht="12.75">
      <c r="A237" s="8"/>
      <c r="B237" s="8"/>
    </row>
    <row r="238" spans="1:2" ht="12.75">
      <c r="A238" s="8"/>
      <c r="B238" s="8"/>
    </row>
    <row r="239" spans="1:2" ht="12.75">
      <c r="A239" s="8"/>
      <c r="B239" s="8"/>
    </row>
    <row r="240" spans="1:2" ht="12.75">
      <c r="A240" s="8"/>
      <c r="B240" s="8"/>
    </row>
    <row r="241" spans="1:2" ht="12.75">
      <c r="A241" s="8"/>
      <c r="B241" s="8"/>
    </row>
    <row r="242" spans="1:2" ht="12.75">
      <c r="A242" s="8"/>
      <c r="B242" s="8"/>
    </row>
    <row r="243" spans="1:2" ht="12.75">
      <c r="A243" s="8"/>
      <c r="B243" s="8"/>
    </row>
    <row r="244" spans="1:2" ht="12.75">
      <c r="A244" s="8"/>
      <c r="B244" s="8"/>
    </row>
    <row r="245" spans="1:2" ht="12.75">
      <c r="A245" s="8"/>
      <c r="B245" s="8"/>
    </row>
    <row r="246" spans="1:2" ht="12.75">
      <c r="A246" s="8"/>
      <c r="B246" s="8"/>
    </row>
    <row r="247" spans="1:2" ht="12.75">
      <c r="A247" s="8"/>
      <c r="B247" s="8"/>
    </row>
    <row r="248" spans="1:2" ht="12.75">
      <c r="A248" s="8"/>
      <c r="B248" s="8"/>
    </row>
    <row r="249" spans="1:2" ht="12.75">
      <c r="A249" s="8"/>
      <c r="B249" s="8"/>
    </row>
    <row r="250" spans="1:2" ht="12.75">
      <c r="A250" s="8"/>
      <c r="B250" s="8"/>
    </row>
    <row r="251" spans="1:2" ht="12.75">
      <c r="A251" s="8"/>
      <c r="B251" s="8"/>
    </row>
    <row r="252" spans="1:2" ht="12.75">
      <c r="A252" s="8"/>
      <c r="B252" s="8"/>
    </row>
    <row r="253" spans="1:2" ht="12.75">
      <c r="A253" s="8"/>
      <c r="B253" s="8"/>
    </row>
    <row r="254" spans="1:2" ht="12.75">
      <c r="A254" s="8"/>
      <c r="B254" s="8"/>
    </row>
    <row r="255" spans="1:2" ht="12.75">
      <c r="A255" s="8"/>
      <c r="B255" s="8"/>
    </row>
    <row r="256" spans="1:2" ht="12.75">
      <c r="A256" s="8"/>
      <c r="B256" s="8"/>
    </row>
    <row r="257" spans="1:2" ht="12.75">
      <c r="A257" s="8"/>
      <c r="B257" s="8"/>
    </row>
    <row r="258" spans="1:2" ht="12.75">
      <c r="A258" s="8"/>
      <c r="B258" s="8"/>
    </row>
    <row r="259" spans="1:2" ht="12.75">
      <c r="A259" s="8"/>
      <c r="B259" s="8"/>
    </row>
    <row r="260" spans="1:2" ht="12.75">
      <c r="A260" s="8"/>
      <c r="B260" s="8"/>
    </row>
    <row r="261" spans="1:2" ht="12.75">
      <c r="A261" s="8"/>
      <c r="B261" s="8"/>
    </row>
    <row r="262" spans="1:2" ht="12.75">
      <c r="A262" s="8"/>
      <c r="B262" s="8"/>
    </row>
    <row r="263" spans="1:2" ht="12.75">
      <c r="A263" s="8"/>
      <c r="B263" s="8"/>
    </row>
    <row r="264" spans="1:2" ht="12.75">
      <c r="A264" s="8"/>
      <c r="B264" s="8"/>
    </row>
    <row r="265" spans="1:2" ht="12.75">
      <c r="A265" s="8"/>
      <c r="B265" s="8"/>
    </row>
    <row r="266" spans="1:2" ht="12.75">
      <c r="A266" s="8"/>
      <c r="B266" s="8"/>
    </row>
    <row r="267" spans="1:2" ht="12.75">
      <c r="A267" s="8"/>
      <c r="B267" s="8"/>
    </row>
    <row r="268" spans="1:2" ht="12.75">
      <c r="A268" s="8"/>
      <c r="B268" s="8"/>
    </row>
    <row r="269" spans="1:2" ht="12.75">
      <c r="A269" s="8"/>
      <c r="B269" s="8"/>
    </row>
    <row r="270" spans="1:2" ht="12.75">
      <c r="A270" s="8"/>
      <c r="B270" s="8"/>
    </row>
    <row r="271" spans="1:2" ht="12.75">
      <c r="A271" s="8"/>
      <c r="B271" s="8"/>
    </row>
    <row r="272" spans="1:2" ht="12.75">
      <c r="A272" s="8"/>
      <c r="B272" s="8"/>
    </row>
    <row r="273" spans="1:2" ht="12.75">
      <c r="A273" s="8"/>
      <c r="B273" s="8"/>
    </row>
    <row r="274" spans="1:2" ht="12.75">
      <c r="A274" s="8"/>
      <c r="B274" s="8"/>
    </row>
    <row r="275" spans="1:2" ht="12.75">
      <c r="A275" s="8"/>
      <c r="B275" s="8"/>
    </row>
    <row r="276" spans="1:2" ht="12.75">
      <c r="A276" s="8"/>
      <c r="B276" s="8"/>
    </row>
    <row r="277" spans="1:2" ht="12.75">
      <c r="A277" s="8"/>
      <c r="B277" s="8"/>
    </row>
    <row r="278" spans="1:2" ht="12.75">
      <c r="A278" s="8"/>
      <c r="B278" s="8"/>
    </row>
    <row r="279" spans="1:2" ht="12.75">
      <c r="A279" s="8"/>
      <c r="B279" s="8"/>
    </row>
    <row r="280" spans="1:2" ht="12.75">
      <c r="A280" s="8"/>
      <c r="B280" s="8"/>
    </row>
    <row r="281" spans="1:2" ht="12.75">
      <c r="A281" s="8"/>
      <c r="B281" s="8"/>
    </row>
    <row r="282" spans="1:2" ht="12.75">
      <c r="A282" s="8"/>
      <c r="B282" s="8"/>
    </row>
    <row r="283" spans="1:2" ht="12.75">
      <c r="A283" s="8"/>
      <c r="B283" s="8"/>
    </row>
    <row r="284" spans="1:2" ht="12.75">
      <c r="A284" s="8"/>
      <c r="B284" s="8"/>
    </row>
    <row r="285" spans="1:2" ht="12.75">
      <c r="A285" s="8"/>
      <c r="B285" s="8"/>
    </row>
    <row r="286" spans="1:2" ht="12.75">
      <c r="A286" s="8"/>
      <c r="B286" s="8"/>
    </row>
    <row r="287" spans="1:2" ht="12.75">
      <c r="A287" s="8"/>
      <c r="B287" s="8"/>
    </row>
    <row r="288" spans="1:2" ht="12.75">
      <c r="A288" s="8"/>
      <c r="B288" s="8"/>
    </row>
    <row r="289" spans="1:2" ht="12.75">
      <c r="A289" s="8"/>
      <c r="B289" s="8"/>
    </row>
    <row r="290" spans="1:2" ht="12.75">
      <c r="A290" s="8"/>
      <c r="B290" s="8"/>
    </row>
    <row r="291" spans="1:2" ht="12.75">
      <c r="A291" s="8"/>
      <c r="B291" s="8"/>
    </row>
    <row r="292" spans="1:2" ht="12.75">
      <c r="A292" s="8"/>
      <c r="B292" s="8"/>
    </row>
    <row r="293" spans="1:2" ht="12.75">
      <c r="A293" s="8"/>
      <c r="B293" s="8"/>
    </row>
    <row r="294" spans="1:2" ht="12.75">
      <c r="A294" s="8"/>
      <c r="B294" s="8"/>
    </row>
    <row r="295" spans="1:2" ht="12.75">
      <c r="A295" s="8"/>
      <c r="B295" s="8"/>
    </row>
    <row r="296" spans="1:2" ht="12.75">
      <c r="A296" s="8"/>
      <c r="B296" s="8"/>
    </row>
    <row r="297" spans="1:2" ht="12.75">
      <c r="A297" s="8"/>
      <c r="B297" s="8"/>
    </row>
    <row r="298" spans="1:2" ht="12.75">
      <c r="A298" s="8"/>
      <c r="B298" s="8"/>
    </row>
    <row r="299" spans="1:2" ht="12.75">
      <c r="A299" s="8"/>
      <c r="B299" s="8"/>
    </row>
    <row r="300" spans="1:2" ht="12.75">
      <c r="A300" s="8"/>
      <c r="B300" s="8"/>
    </row>
    <row r="301" spans="1:2" ht="12.75">
      <c r="A301" s="8"/>
      <c r="B301" s="8"/>
    </row>
    <row r="302" spans="1:2" ht="12.75">
      <c r="A302" s="8"/>
      <c r="B302" s="8"/>
    </row>
    <row r="303" spans="1:2" ht="12.75">
      <c r="A303" s="8"/>
      <c r="B303" s="8"/>
    </row>
    <row r="304" spans="1:2" ht="12.75">
      <c r="A304" s="8"/>
      <c r="B304" s="8"/>
    </row>
    <row r="305" spans="1:2" ht="12.75">
      <c r="A305" s="8"/>
      <c r="B305" s="8"/>
    </row>
    <row r="306" spans="1:2" ht="12.75">
      <c r="A306" s="8"/>
      <c r="B306" s="8"/>
    </row>
    <row r="307" spans="1:2" ht="12.75">
      <c r="A307" s="8"/>
      <c r="B307" s="8"/>
    </row>
    <row r="308" spans="1:2" ht="12.75">
      <c r="A308" s="8"/>
      <c r="B308" s="8"/>
    </row>
    <row r="309" spans="1:2" ht="12.75">
      <c r="A309" s="8"/>
      <c r="B309" s="8"/>
    </row>
    <row r="310" spans="1:2" ht="12.75">
      <c r="A310" s="8"/>
      <c r="B310" s="8"/>
    </row>
    <row r="311" spans="1:2" ht="12.75">
      <c r="A311" s="8"/>
      <c r="B311" s="8"/>
    </row>
    <row r="312" spans="1:2" ht="12.75">
      <c r="A312" s="8"/>
      <c r="B312" s="8"/>
    </row>
    <row r="313" spans="1:2" ht="12.75">
      <c r="A313" s="8"/>
      <c r="B313" s="8"/>
    </row>
    <row r="314" spans="1:2" ht="12.75">
      <c r="A314" s="8"/>
      <c r="B314" s="8"/>
    </row>
    <row r="315" spans="1:2" ht="12.75">
      <c r="A315" s="8"/>
      <c r="B315" s="8"/>
    </row>
    <row r="316" spans="1:2" ht="12.75">
      <c r="A316" s="8"/>
      <c r="B316" s="8"/>
    </row>
    <row r="317" spans="1:2" ht="12.75">
      <c r="A317" s="8"/>
      <c r="B317" s="8"/>
    </row>
    <row r="318" spans="1:2" ht="12.75">
      <c r="A318" s="8"/>
      <c r="B318" s="8"/>
    </row>
    <row r="319" spans="1:2" ht="12.75">
      <c r="A319" s="8"/>
      <c r="B319" s="8"/>
    </row>
    <row r="320" spans="1:2" ht="12.75">
      <c r="A320" s="8"/>
      <c r="B320" s="8"/>
    </row>
    <row r="321" spans="1:2" ht="12.75">
      <c r="A321" s="8"/>
      <c r="B321" s="8"/>
    </row>
    <row r="322" spans="1:2" ht="12.75">
      <c r="A322" s="8"/>
      <c r="B322" s="8"/>
    </row>
    <row r="323" spans="1:2" ht="12.75">
      <c r="A323" s="8"/>
      <c r="B323" s="8"/>
    </row>
    <row r="324" spans="1:2" ht="12.75">
      <c r="A324" s="8"/>
      <c r="B324" s="8"/>
    </row>
    <row r="325" spans="1:2" ht="12.75">
      <c r="A325" s="8"/>
      <c r="B325" s="8"/>
    </row>
    <row r="326" spans="1:2" ht="12.75">
      <c r="A326" s="8"/>
      <c r="B326" s="8"/>
    </row>
    <row r="327" spans="1:2" ht="12.75">
      <c r="A327" s="8"/>
      <c r="B327" s="8"/>
    </row>
    <row r="328" spans="1:2" ht="12.75">
      <c r="A328" s="8"/>
      <c r="B328" s="8"/>
    </row>
    <row r="329" spans="1:2" ht="12.75">
      <c r="A329" s="8"/>
      <c r="B329" s="8"/>
    </row>
    <row r="330" spans="1:2" ht="12.75">
      <c r="A330" s="8"/>
      <c r="B330" s="8"/>
    </row>
    <row r="331" spans="1:2" ht="12.75">
      <c r="A331" s="8"/>
      <c r="B331" s="8"/>
    </row>
    <row r="332" spans="1:2" ht="12.75">
      <c r="A332" s="8"/>
      <c r="B332" s="8"/>
    </row>
    <row r="333" spans="1:2" ht="12.75">
      <c r="A333" s="8"/>
      <c r="B333" s="8"/>
    </row>
    <row r="334" spans="1:2" ht="12.75">
      <c r="A334" s="8"/>
      <c r="B334" s="8"/>
    </row>
    <row r="335" spans="1:2" ht="12.75">
      <c r="A335" s="8"/>
      <c r="B335" s="8"/>
    </row>
    <row r="336" spans="1:2" ht="12.75">
      <c r="A336" s="8"/>
      <c r="B336" s="8"/>
    </row>
    <row r="337" spans="1:2" ht="12.75">
      <c r="A337" s="8"/>
      <c r="B337" s="8"/>
    </row>
    <row r="338" spans="1:2" ht="12.75">
      <c r="A338" s="8"/>
      <c r="B338" s="8"/>
    </row>
    <row r="339" spans="1:2" ht="12.75">
      <c r="A339" s="8"/>
      <c r="B339" s="8"/>
    </row>
    <row r="340" spans="1:2" ht="12.75">
      <c r="A340" s="8"/>
      <c r="B340" s="8"/>
    </row>
    <row r="341" spans="1:2" ht="12.75">
      <c r="A341" s="8"/>
      <c r="B341" s="8"/>
    </row>
    <row r="342" spans="1:2" ht="12.75">
      <c r="A342" s="8"/>
      <c r="B342" s="8"/>
    </row>
    <row r="343" spans="1:2" ht="12.75">
      <c r="A343" s="8"/>
      <c r="B343" s="8"/>
    </row>
    <row r="344" spans="1:2" ht="12.75">
      <c r="A344" s="8"/>
      <c r="B344" s="8"/>
    </row>
    <row r="345" spans="1:2" ht="12.75">
      <c r="A345" s="8"/>
      <c r="B345" s="8"/>
    </row>
    <row r="346" spans="1:2" ht="12.75">
      <c r="A346" s="8"/>
      <c r="B346" s="8"/>
    </row>
    <row r="347" spans="1:2" ht="12.75">
      <c r="A347" s="8"/>
      <c r="B347" s="8"/>
    </row>
    <row r="348" spans="1:2" ht="12.75">
      <c r="A348" s="8"/>
      <c r="B348" s="8"/>
    </row>
    <row r="349" spans="1:2" ht="12.75">
      <c r="A349" s="8"/>
      <c r="B349" s="8"/>
    </row>
    <row r="350" spans="1:2" ht="12.75">
      <c r="A350" s="8"/>
      <c r="B350" s="8"/>
    </row>
    <row r="351" spans="1:2" ht="12.75">
      <c r="A351" s="8"/>
      <c r="B351" s="8"/>
    </row>
    <row r="352" spans="1:2" ht="12.75">
      <c r="A352" s="8"/>
      <c r="B352" s="8"/>
    </row>
    <row r="353" spans="1:2" ht="12.75">
      <c r="A353" s="8"/>
      <c r="B353" s="8"/>
    </row>
    <row r="354" spans="1:2" ht="12.75">
      <c r="A354" s="8"/>
      <c r="B354" s="8"/>
    </row>
    <row r="355" spans="1:2" ht="12.75">
      <c r="A355" s="8"/>
      <c r="B355" s="8"/>
    </row>
    <row r="356" spans="1:2" ht="12.75">
      <c r="A356" s="8"/>
      <c r="B356" s="8"/>
    </row>
    <row r="357" spans="1:2" ht="12.75">
      <c r="A357" s="8"/>
      <c r="B357" s="8"/>
    </row>
    <row r="358" spans="1:2" ht="12.75">
      <c r="A358" s="8"/>
      <c r="B358" s="8"/>
    </row>
    <row r="359" spans="1:2" ht="12.75">
      <c r="A359" s="8"/>
      <c r="B359" s="8"/>
    </row>
    <row r="360" spans="1:2" ht="12.75">
      <c r="A360" s="8"/>
      <c r="B360" s="8"/>
    </row>
    <row r="361" spans="1:2" ht="12.75">
      <c r="A361" s="8"/>
      <c r="B361" s="8"/>
    </row>
    <row r="362" spans="1:2" ht="12.75">
      <c r="A362" s="8"/>
      <c r="B362" s="8"/>
    </row>
    <row r="363" spans="1:2" ht="12.75">
      <c r="A363" s="8"/>
      <c r="B363" s="8"/>
    </row>
    <row r="364" spans="1:2" ht="12.75">
      <c r="A364" s="8"/>
      <c r="B364" s="8"/>
    </row>
    <row r="365" spans="1:2" ht="12.75">
      <c r="A365" s="8"/>
      <c r="B365" s="8"/>
    </row>
    <row r="366" spans="1:2" ht="12.75">
      <c r="A366" s="8"/>
      <c r="B366" s="8"/>
    </row>
    <row r="367" spans="1:2" ht="12.75">
      <c r="A367" s="8"/>
      <c r="B367" s="8"/>
    </row>
    <row r="368" spans="1:2" ht="12.75">
      <c r="A368" s="8"/>
      <c r="B368" s="8"/>
    </row>
    <row r="369" spans="1:2" ht="12.75">
      <c r="A369" s="8"/>
      <c r="B369" s="8"/>
    </row>
    <row r="370" spans="1:2" ht="12.75">
      <c r="A370" s="8"/>
      <c r="B370" s="8"/>
    </row>
    <row r="371" spans="1:2" ht="12.75">
      <c r="A371" s="8"/>
      <c r="B371" s="8"/>
    </row>
    <row r="372" spans="1:2" ht="12.75">
      <c r="A372" s="8"/>
      <c r="B372" s="8"/>
    </row>
    <row r="373" spans="1:2" ht="12.75">
      <c r="A373" s="8"/>
      <c r="B373" s="8"/>
    </row>
    <row r="374" spans="1:2" ht="12.75">
      <c r="A374" s="8"/>
      <c r="B374" s="8"/>
    </row>
    <row r="375" spans="1:2" ht="12.75">
      <c r="A375" s="8"/>
      <c r="B375" s="8"/>
    </row>
    <row r="376" spans="1:2" ht="12.75">
      <c r="A376" s="8"/>
      <c r="B376" s="8"/>
    </row>
    <row r="377" spans="1:2" ht="12.75">
      <c r="A377" s="8"/>
      <c r="B377" s="8"/>
    </row>
    <row r="378" spans="1:2" ht="12.75">
      <c r="A378" s="8"/>
      <c r="B378" s="8"/>
    </row>
    <row r="379" spans="1:2" ht="12.75">
      <c r="A379" s="8"/>
      <c r="B379" s="8"/>
    </row>
    <row r="380" spans="1:2" ht="12.75">
      <c r="A380" s="8"/>
      <c r="B380" s="8"/>
    </row>
    <row r="381" spans="1:2" ht="12.75">
      <c r="A381" s="8"/>
      <c r="B381" s="8"/>
    </row>
    <row r="382" spans="1:2" ht="12.75">
      <c r="A382" s="8"/>
      <c r="B382" s="8"/>
    </row>
    <row r="383" spans="1:2" ht="12.75">
      <c r="A383" s="8"/>
      <c r="B383" s="8"/>
    </row>
    <row r="384" spans="1:2" ht="12.75">
      <c r="A384" s="8"/>
      <c r="B384" s="8"/>
    </row>
    <row r="385" spans="1:2" ht="12.75">
      <c r="A385" s="8"/>
      <c r="B385" s="8"/>
    </row>
    <row r="386" spans="1:2" ht="12.75">
      <c r="A386" s="8"/>
      <c r="B386" s="8"/>
    </row>
    <row r="387" spans="1:2" ht="12.75">
      <c r="A387" s="8"/>
      <c r="B387" s="8"/>
    </row>
    <row r="388" spans="1:2" ht="12.75">
      <c r="A388" s="8"/>
      <c r="B388" s="8"/>
    </row>
    <row r="389" spans="1:2" ht="12.75">
      <c r="A389" s="8"/>
      <c r="B389" s="8"/>
    </row>
    <row r="390" spans="1:2" ht="12.75">
      <c r="A390" s="8"/>
      <c r="B390" s="8"/>
    </row>
    <row r="391" spans="1:2" ht="12.75">
      <c r="A391" s="8"/>
      <c r="B391" s="8"/>
    </row>
    <row r="392" spans="1:2" ht="12.75">
      <c r="A392" s="8"/>
      <c r="B392" s="8"/>
    </row>
    <row r="393" spans="1:2" ht="12.75">
      <c r="A393" s="8"/>
      <c r="B393" s="8"/>
    </row>
    <row r="394" spans="1:2" ht="12.75">
      <c r="A394" s="8"/>
      <c r="B394" s="8"/>
    </row>
    <row r="395" spans="1:2" ht="12.75">
      <c r="A395" s="8"/>
      <c r="B395" s="8"/>
    </row>
    <row r="396" spans="1:2" ht="12.75">
      <c r="A396" s="8"/>
      <c r="B396" s="8"/>
    </row>
    <row r="397" spans="1:2" ht="12.75">
      <c r="A397" s="8"/>
      <c r="B397" s="8"/>
    </row>
    <row r="398" spans="1:2" ht="12.75">
      <c r="A398" s="8"/>
      <c r="B398" s="8"/>
    </row>
    <row r="399" spans="1:2" ht="12.75">
      <c r="A399" s="8"/>
      <c r="B399" s="8"/>
    </row>
    <row r="400" spans="1:2" ht="12.75">
      <c r="A400" s="8"/>
      <c r="B400" s="8"/>
    </row>
    <row r="401" spans="1:2" ht="12.75">
      <c r="A401" s="8"/>
      <c r="B401" s="8"/>
    </row>
    <row r="402" spans="1:2" ht="12.75">
      <c r="A402" s="8"/>
      <c r="B402" s="8"/>
    </row>
    <row r="403" spans="1:2" ht="12.75">
      <c r="A403" s="8"/>
      <c r="B403" s="8"/>
    </row>
    <row r="404" spans="1:2" ht="12.75">
      <c r="A404" s="8"/>
      <c r="B404" s="8"/>
    </row>
    <row r="405" spans="1:2" ht="12.75">
      <c r="A405" s="8"/>
      <c r="B405" s="8"/>
    </row>
    <row r="406" spans="1:2" ht="12.75">
      <c r="A406" s="8"/>
      <c r="B406" s="8"/>
    </row>
    <row r="407" spans="1:2" ht="12.75">
      <c r="A407" s="8"/>
      <c r="B407" s="8"/>
    </row>
    <row r="408" spans="1:2" ht="12.75">
      <c r="A408" s="8"/>
      <c r="B408" s="8"/>
    </row>
    <row r="409" spans="1:2" ht="12.75">
      <c r="A409" s="8"/>
      <c r="B409" s="8"/>
    </row>
    <row r="410" spans="1:2" ht="12.75">
      <c r="A410" s="8"/>
      <c r="B410" s="8"/>
    </row>
    <row r="411" spans="1:2" ht="12.75">
      <c r="A411" s="8"/>
      <c r="B411" s="8"/>
    </row>
    <row r="412" spans="1:2" ht="12.75">
      <c r="A412" s="8"/>
      <c r="B412" s="8"/>
    </row>
    <row r="413" spans="1:2" ht="12.75">
      <c r="A413" s="8"/>
      <c r="B413" s="8"/>
    </row>
    <row r="414" spans="1:2" ht="12.75">
      <c r="A414" s="8"/>
      <c r="B414" s="8"/>
    </row>
    <row r="415" spans="1:2" ht="12.75">
      <c r="A415" s="8"/>
      <c r="B415" s="8"/>
    </row>
    <row r="416" spans="1:2" ht="12.75">
      <c r="A416" s="8"/>
      <c r="B416" s="8"/>
    </row>
    <row r="417" spans="1:2" ht="12.75">
      <c r="A417" s="8"/>
      <c r="B417" s="8"/>
    </row>
    <row r="418" spans="1:2" ht="12.75">
      <c r="A418" s="8"/>
      <c r="B418" s="8"/>
    </row>
    <row r="419" spans="1:2" ht="12.75">
      <c r="A419" s="8"/>
      <c r="B419" s="8"/>
    </row>
    <row r="420" spans="1:2" ht="12.75">
      <c r="A420" s="8"/>
      <c r="B420" s="8"/>
    </row>
    <row r="421" spans="1:2" ht="12.75">
      <c r="A421" s="8"/>
      <c r="B421" s="8"/>
    </row>
    <row r="422" spans="1:2" ht="12.75">
      <c r="A422" s="8"/>
      <c r="B422" s="8"/>
    </row>
    <row r="423" spans="1:2" ht="12.75">
      <c r="A423" s="8"/>
      <c r="B423" s="8"/>
    </row>
    <row r="424" spans="1:2" ht="12.75">
      <c r="A424" s="8"/>
      <c r="B424" s="8"/>
    </row>
    <row r="425" spans="1:2" ht="12.75">
      <c r="A425" s="8"/>
      <c r="B425" s="8"/>
    </row>
    <row r="426" spans="1:2" ht="12.75">
      <c r="A426" s="8"/>
      <c r="B426" s="8"/>
    </row>
    <row r="427" spans="1:2" ht="12.75">
      <c r="A427" s="8"/>
      <c r="B427" s="8"/>
    </row>
    <row r="428" spans="1:2" ht="12.75">
      <c r="A428" s="8"/>
      <c r="B428" s="8"/>
    </row>
    <row r="429" spans="1:2" ht="12.75">
      <c r="A429" s="8"/>
      <c r="B429" s="8"/>
    </row>
    <row r="430" spans="1:2" ht="12.75">
      <c r="A430" s="8"/>
      <c r="B430" s="8"/>
    </row>
    <row r="431" spans="1:2" ht="12.75">
      <c r="A431" s="8"/>
      <c r="B431" s="8"/>
    </row>
    <row r="432" spans="1:2" ht="12.75">
      <c r="A432" s="8"/>
      <c r="B432" s="8"/>
    </row>
    <row r="433" spans="1:2" ht="12.75">
      <c r="A433" s="8"/>
      <c r="B433" s="8"/>
    </row>
    <row r="434" spans="1:2" ht="12.75">
      <c r="A434" s="8"/>
      <c r="B434" s="8"/>
    </row>
    <row r="435" spans="1:2" ht="12.75">
      <c r="A435" s="8"/>
      <c r="B435" s="8"/>
    </row>
    <row r="436" spans="1:2" ht="12.75">
      <c r="A436" s="8"/>
      <c r="B436" s="8"/>
    </row>
    <row r="437" spans="1:2" ht="12.75">
      <c r="A437" s="8"/>
      <c r="B437" s="8"/>
    </row>
    <row r="438" spans="1:2" ht="12.75">
      <c r="A438" s="8"/>
      <c r="B438" s="8"/>
    </row>
    <row r="439" spans="1:2" ht="12.75">
      <c r="A439" s="8"/>
      <c r="B439" s="8"/>
    </row>
    <row r="440" spans="1:2" ht="12.75">
      <c r="A440" s="8"/>
      <c r="B440" s="8"/>
    </row>
    <row r="441" spans="1:2" ht="12.75">
      <c r="A441" s="8"/>
      <c r="B441" s="8"/>
    </row>
    <row r="442" spans="1:2" ht="12.75">
      <c r="A442" s="8"/>
      <c r="B442" s="8"/>
    </row>
    <row r="443" spans="1:2" ht="12.75">
      <c r="A443" s="8"/>
      <c r="B443" s="8"/>
    </row>
    <row r="444" spans="1:2" ht="12.75">
      <c r="A444" s="8"/>
      <c r="B444" s="8"/>
    </row>
    <row r="445" spans="1:2" ht="12.75">
      <c r="A445" s="8"/>
      <c r="B445" s="8"/>
    </row>
    <row r="446" spans="1:2" ht="12.75">
      <c r="A446" s="8"/>
      <c r="B446" s="8"/>
    </row>
    <row r="447" spans="1:2" ht="12.75">
      <c r="A447" s="8"/>
      <c r="B447" s="8"/>
    </row>
    <row r="448" spans="1:2" ht="12.75">
      <c r="A448" s="8"/>
      <c r="B448" s="8"/>
    </row>
    <row r="449" spans="1:2" ht="12.75">
      <c r="A449" s="8"/>
      <c r="B449" s="8"/>
    </row>
    <row r="450" spans="1:2" ht="12.75">
      <c r="A450" s="8"/>
      <c r="B450" s="8"/>
    </row>
    <row r="451" spans="1:2" ht="12.75">
      <c r="A451" s="8"/>
      <c r="B451" s="8"/>
    </row>
    <row r="452" spans="1:2" ht="12.75">
      <c r="A452" s="8"/>
      <c r="B452" s="8"/>
    </row>
    <row r="453" spans="1:2" ht="12.75">
      <c r="A453" s="8"/>
      <c r="B453" s="8"/>
    </row>
    <row r="454" spans="1:2" ht="12.75">
      <c r="A454" s="8"/>
      <c r="B454" s="8"/>
    </row>
    <row r="455" spans="1:2" ht="12.75">
      <c r="A455" s="8"/>
      <c r="B455" s="8"/>
    </row>
    <row r="456" spans="1:2" ht="12.75">
      <c r="A456" s="8"/>
      <c r="B456" s="8"/>
    </row>
    <row r="457" spans="1:2" ht="12.75">
      <c r="A457" s="8"/>
      <c r="B457" s="8"/>
    </row>
    <row r="458" spans="1:2" ht="12.75">
      <c r="A458" s="8"/>
      <c r="B458" s="8"/>
    </row>
    <row r="459" spans="1:2" ht="12.75">
      <c r="A459" s="8"/>
      <c r="B459" s="8"/>
    </row>
    <row r="460" spans="1:2" ht="12.75">
      <c r="A460" s="8"/>
      <c r="B460" s="8"/>
    </row>
    <row r="461" spans="1:2" ht="12.75">
      <c r="A461" s="8"/>
      <c r="B461" s="8"/>
    </row>
    <row r="462" spans="1:2" ht="12.75">
      <c r="A462" s="8"/>
      <c r="B462" s="8"/>
    </row>
    <row r="463" spans="1:2" ht="12.75">
      <c r="A463" s="8"/>
      <c r="B463" s="8"/>
    </row>
    <row r="464" spans="1:2" ht="12.75">
      <c r="A464" s="8"/>
      <c r="B464" s="8"/>
    </row>
    <row r="465" spans="1:2" ht="12.75">
      <c r="A465" s="8"/>
      <c r="B465" s="8"/>
    </row>
    <row r="466" spans="1:2" ht="12.75">
      <c r="A466" s="8"/>
      <c r="B466" s="8"/>
    </row>
    <row r="467" spans="1:2" ht="12.75">
      <c r="A467" s="8"/>
      <c r="B467" s="8"/>
    </row>
    <row r="468" spans="1:2" ht="12.75">
      <c r="A468" s="8"/>
      <c r="B468" s="8"/>
    </row>
    <row r="469" spans="1:2" ht="12.75">
      <c r="A469" s="8"/>
      <c r="B469" s="8"/>
    </row>
    <row r="470" spans="1:2" ht="12.75">
      <c r="A470" s="8"/>
      <c r="B470" s="8"/>
    </row>
    <row r="471" spans="1:2" ht="12.75">
      <c r="A471" s="8"/>
      <c r="B471" s="8"/>
    </row>
    <row r="472" spans="1:2" ht="12.75">
      <c r="A472" s="8"/>
      <c r="B472" s="8"/>
    </row>
    <row r="473" spans="1:2" ht="12.75">
      <c r="A473" s="8"/>
      <c r="B473" s="8"/>
    </row>
    <row r="474" spans="1:2" ht="12.75">
      <c r="A474" s="8"/>
      <c r="B474" s="8"/>
    </row>
    <row r="475" spans="1:2" ht="12.75">
      <c r="A475" s="8"/>
      <c r="B475" s="8"/>
    </row>
    <row r="476" spans="1:2" ht="12.75">
      <c r="A476" s="8"/>
      <c r="B476" s="8"/>
    </row>
    <row r="477" spans="1:2" ht="12.75">
      <c r="A477" s="8"/>
      <c r="B477" s="8"/>
    </row>
    <row r="478" spans="1:2" ht="12.75">
      <c r="A478" s="8"/>
      <c r="B478" s="8"/>
    </row>
    <row r="479" spans="1:2" ht="12.75">
      <c r="A479" s="8"/>
      <c r="B479" s="8"/>
    </row>
    <row r="480" spans="1:2" ht="12.75">
      <c r="A480" s="8"/>
      <c r="B480" s="8"/>
    </row>
    <row r="481" spans="1:2" ht="12.75">
      <c r="A481" s="8"/>
      <c r="B481" s="8"/>
    </row>
    <row r="482" spans="1:2" ht="12.75">
      <c r="A482" s="8"/>
      <c r="B482" s="8"/>
    </row>
    <row r="483" spans="1:2" ht="12.75">
      <c r="A483" s="8"/>
      <c r="B483" s="8"/>
    </row>
    <row r="484" spans="1:2" ht="12.75">
      <c r="A484" s="8"/>
      <c r="B484" s="8"/>
    </row>
    <row r="485" spans="1:2" ht="12.75">
      <c r="A485" s="8"/>
      <c r="B485" s="8"/>
    </row>
    <row r="486" spans="1:2" ht="12.75">
      <c r="A486" s="8"/>
      <c r="B486" s="8"/>
    </row>
    <row r="487" spans="1:2" ht="12.75">
      <c r="A487" s="8"/>
      <c r="B487" s="8"/>
    </row>
    <row r="488" spans="1:2" ht="12.75">
      <c r="A488" s="8"/>
      <c r="B488" s="8"/>
    </row>
    <row r="489" spans="1:2" ht="12.75">
      <c r="A489" s="8"/>
      <c r="B489" s="8"/>
    </row>
    <row r="490" spans="1:2" ht="12.75">
      <c r="A490" s="8"/>
      <c r="B490" s="8"/>
    </row>
    <row r="491" spans="1:2" ht="12.75">
      <c r="A491" s="8"/>
      <c r="B491" s="8"/>
    </row>
    <row r="492" spans="1:2" ht="12.75">
      <c r="A492" s="8"/>
      <c r="B492" s="8"/>
    </row>
    <row r="493" spans="1:2" ht="12.75">
      <c r="A493" s="8"/>
      <c r="B493" s="8"/>
    </row>
    <row r="494" spans="1:2" ht="12.75">
      <c r="A494" s="8"/>
      <c r="B494" s="8"/>
    </row>
    <row r="495" spans="1:2" ht="12.75">
      <c r="A495" s="8"/>
      <c r="B495" s="8"/>
    </row>
    <row r="496" spans="1:2" ht="12.75">
      <c r="A496" s="8"/>
      <c r="B496" s="8"/>
    </row>
    <row r="497" spans="1:2" ht="12.75">
      <c r="A497" s="8"/>
      <c r="B497" s="8"/>
    </row>
    <row r="498" spans="1:2" ht="12.75">
      <c r="A498" s="8"/>
      <c r="B498" s="8"/>
    </row>
    <row r="499" spans="1:2" ht="12.75">
      <c r="A499" s="8"/>
      <c r="B499" s="8"/>
    </row>
    <row r="500" spans="1:2" ht="12.75">
      <c r="A500" s="8"/>
      <c r="B500" s="8"/>
    </row>
    <row r="501" spans="1:2" ht="12.75">
      <c r="A501" s="8"/>
      <c r="B501" s="8"/>
    </row>
    <row r="502" spans="1:2" ht="12.75">
      <c r="A502" s="8"/>
      <c r="B502" s="8"/>
    </row>
    <row r="503" spans="1:2" ht="12.75">
      <c r="A503" s="8"/>
      <c r="B503" s="8"/>
    </row>
    <row r="504" spans="1:2" ht="12.75">
      <c r="A504" s="8"/>
      <c r="B504" s="8"/>
    </row>
    <row r="505" spans="1:2" ht="12.75">
      <c r="A505" s="8"/>
      <c r="B505" s="8"/>
    </row>
    <row r="506" spans="1:2" ht="12.75">
      <c r="A506" s="8"/>
      <c r="B506" s="8"/>
    </row>
    <row r="507" spans="1:2" ht="12.75">
      <c r="A507" s="8"/>
      <c r="B507" s="8"/>
    </row>
    <row r="508" spans="1:2" ht="12.75">
      <c r="A508" s="8"/>
      <c r="B508" s="8"/>
    </row>
    <row r="509" spans="1:2" ht="12.75">
      <c r="A509" s="8"/>
      <c r="B509" s="8"/>
    </row>
    <row r="510" spans="1:2" ht="12.75">
      <c r="A510" s="8"/>
      <c r="B510" s="8"/>
    </row>
    <row r="511" spans="1:2" ht="12.75">
      <c r="A511" s="8"/>
      <c r="B511" s="8"/>
    </row>
    <row r="512" spans="1:2" ht="12.75">
      <c r="A512" s="8"/>
      <c r="B512" s="8"/>
    </row>
    <row r="513" spans="1:2" ht="12.75">
      <c r="A513" s="8"/>
      <c r="B513" s="8"/>
    </row>
    <row r="514" spans="1:2" ht="12.75">
      <c r="A514" s="8"/>
      <c r="B514" s="8"/>
    </row>
    <row r="515" spans="1:2" ht="12.75">
      <c r="A515" s="8"/>
      <c r="B515" s="8"/>
    </row>
    <row r="516" spans="1:2" ht="12.75">
      <c r="A516" s="8"/>
      <c r="B516" s="8"/>
    </row>
    <row r="517" spans="1:2" ht="12.75">
      <c r="A517" s="8"/>
      <c r="B517" s="8"/>
    </row>
    <row r="518" spans="1:2" ht="12.75">
      <c r="A518" s="8"/>
      <c r="B518" s="8"/>
    </row>
    <row r="519" spans="1:2" ht="12.75">
      <c r="A519" s="8"/>
      <c r="B519" s="8"/>
    </row>
    <row r="520" spans="1:2" ht="12.75">
      <c r="A520" s="8"/>
      <c r="B520" s="8"/>
    </row>
    <row r="521" spans="1:2" ht="12.75">
      <c r="A521" s="8"/>
      <c r="B521" s="8"/>
    </row>
    <row r="522" spans="1:2" ht="12.75">
      <c r="A522" s="8"/>
      <c r="B522" s="8"/>
    </row>
    <row r="523" spans="1:2" ht="12.75">
      <c r="A523" s="8"/>
      <c r="B523" s="8"/>
    </row>
    <row r="524" spans="1:2" ht="12.75">
      <c r="A524" s="8"/>
      <c r="B524" s="8"/>
    </row>
    <row r="525" spans="1:2" ht="12.75">
      <c r="A525" s="8"/>
      <c r="B525" s="8"/>
    </row>
    <row r="526" spans="1:2" ht="12.75">
      <c r="A526" s="8"/>
      <c r="B526" s="8"/>
    </row>
    <row r="527" spans="1:2" ht="12.75">
      <c r="A527" s="8"/>
      <c r="B527" s="8"/>
    </row>
    <row r="528" spans="1:2" ht="12.75">
      <c r="A528" s="8"/>
      <c r="B528" s="8"/>
    </row>
    <row r="529" spans="1:2" ht="12.75">
      <c r="A529" s="8"/>
      <c r="B529" s="8"/>
    </row>
    <row r="530" spans="1:2" ht="12.75">
      <c r="A530" s="8"/>
      <c r="B530" s="8"/>
    </row>
    <row r="531" spans="1:2" ht="12.75">
      <c r="A531" s="8"/>
      <c r="B531" s="8"/>
    </row>
    <row r="532" spans="1:2" ht="12.75">
      <c r="A532" s="8"/>
      <c r="B532" s="8"/>
    </row>
    <row r="533" spans="1:2" ht="12.75">
      <c r="A533" s="8"/>
      <c r="B533" s="8"/>
    </row>
    <row r="534" spans="1:2" ht="12.75">
      <c r="A534" s="8"/>
      <c r="B534" s="8"/>
    </row>
    <row r="535" spans="1:2" ht="12.75">
      <c r="A535" s="8"/>
      <c r="B535" s="8"/>
    </row>
    <row r="536" spans="1:2" ht="12.75">
      <c r="A536" s="8"/>
      <c r="B536" s="8"/>
    </row>
    <row r="537" spans="1:2" ht="12.75">
      <c r="A537" s="8"/>
      <c r="B537" s="8"/>
    </row>
    <row r="538" spans="1:2" ht="12.75">
      <c r="A538" s="8"/>
      <c r="B538" s="8"/>
    </row>
    <row r="539" spans="1:2" ht="12.75">
      <c r="A539" s="8"/>
      <c r="B539" s="8"/>
    </row>
    <row r="540" spans="1:2" ht="12.75">
      <c r="A540" s="8"/>
      <c r="B540" s="8"/>
    </row>
    <row r="541" spans="1:2" ht="12.75">
      <c r="A541" s="8"/>
      <c r="B541" s="8"/>
    </row>
    <row r="542" spans="1:2" ht="12.75">
      <c r="A542" s="8"/>
      <c r="B542" s="8"/>
    </row>
    <row r="543" spans="1:2" ht="12.75">
      <c r="A543" s="8"/>
      <c r="B543" s="8"/>
    </row>
    <row r="544" spans="1:2" ht="12.75">
      <c r="A544" s="8"/>
      <c r="B544" s="8"/>
    </row>
    <row r="545" spans="1:2" ht="12.75">
      <c r="A545" s="8"/>
      <c r="B545" s="8"/>
    </row>
    <row r="546" spans="1:2" ht="12.75">
      <c r="A546" s="8"/>
      <c r="B546" s="8"/>
    </row>
    <row r="547" spans="1:2" ht="12.75">
      <c r="A547" s="8"/>
      <c r="B547" s="8"/>
    </row>
    <row r="548" spans="1:2" ht="12.75">
      <c r="A548" s="8"/>
      <c r="B548" s="8"/>
    </row>
    <row r="549" spans="1:2" ht="12.75">
      <c r="A549" s="8"/>
      <c r="B549" s="8"/>
    </row>
    <row r="550" spans="1:2" ht="12.75">
      <c r="A550" s="8"/>
      <c r="B550" s="8"/>
    </row>
    <row r="551" spans="1:2" ht="12.75">
      <c r="A551" s="8"/>
      <c r="B551" s="8"/>
    </row>
    <row r="552" spans="1:2" ht="12.75">
      <c r="A552" s="8"/>
      <c r="B552" s="8"/>
    </row>
  </sheetData>
  <sheetProtection password="CC0D" sheet="1" objects="1" scenarios="1"/>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B673"/>
  <sheetViews>
    <sheetView showGridLines="0" zoomScalePageLayoutView="0" workbookViewId="0" topLeftCell="A1">
      <selection activeCell="A1" sqref="A1"/>
    </sheetView>
  </sheetViews>
  <sheetFormatPr defaultColWidth="9.140625" defaultRowHeight="12.75"/>
  <cols>
    <col min="1" max="1" width="7.00390625" style="0" customWidth="1"/>
    <col min="2" max="2" width="65.140625" style="0" customWidth="1"/>
  </cols>
  <sheetData>
    <row r="1" ht="17.25">
      <c r="A1" s="23" t="str">
        <f>title1</f>
        <v>Retirement  Management  Services, LLC</v>
      </c>
    </row>
    <row r="2" ht="17.25">
      <c r="A2" s="24" t="str">
        <f>Title2</f>
        <v>Retirement  Savings  Calculator,  Version  24.1   (Release 12-11-2023)</v>
      </c>
    </row>
    <row r="3" ht="6.75" customHeight="1"/>
    <row r="4" ht="17.25">
      <c r="A4" s="25" t="s">
        <v>67</v>
      </c>
    </row>
    <row r="6" ht="12.75">
      <c r="A6" s="20" t="s">
        <v>23</v>
      </c>
    </row>
    <row r="7" ht="12.75">
      <c r="A7" s="2"/>
    </row>
    <row r="8" spans="1:2" ht="26.25">
      <c r="A8" s="13">
        <v>3.01</v>
      </c>
      <c r="B8" s="8" t="s">
        <v>68</v>
      </c>
    </row>
    <row r="9" spans="1:2" ht="12.75">
      <c r="A9" s="13"/>
      <c r="B9" s="8"/>
    </row>
    <row r="10" spans="1:2" ht="26.25">
      <c r="A10" s="13">
        <f>A8+0.01</f>
        <v>3.0199999999999996</v>
      </c>
      <c r="B10" s="8" t="s">
        <v>69</v>
      </c>
    </row>
    <row r="11" spans="1:2" ht="12.75">
      <c r="A11" s="13"/>
      <c r="B11" s="8"/>
    </row>
    <row r="12" spans="1:2" ht="12.75">
      <c r="A12" s="13">
        <f>A10+0.01</f>
        <v>3.0299999999999994</v>
      </c>
      <c r="B12" s="8" t="s">
        <v>70</v>
      </c>
    </row>
    <row r="13" spans="1:2" ht="12.75">
      <c r="A13" s="13"/>
      <c r="B13" s="8"/>
    </row>
    <row r="14" spans="1:2" ht="26.25">
      <c r="A14" s="13">
        <f>A12+0.01</f>
        <v>3.039999999999999</v>
      </c>
      <c r="B14" s="8" t="s">
        <v>71</v>
      </c>
    </row>
    <row r="15" spans="1:2" ht="12.75">
      <c r="A15" s="13"/>
      <c r="B15" s="8"/>
    </row>
    <row r="16" spans="1:2" ht="52.5">
      <c r="A16" s="13">
        <f>A14+0.01</f>
        <v>3.049999999999999</v>
      </c>
      <c r="B16" s="8" t="s">
        <v>72</v>
      </c>
    </row>
    <row r="17" spans="1:2" ht="12.75">
      <c r="A17" s="13"/>
      <c r="B17" s="8" t="s">
        <v>73</v>
      </c>
    </row>
    <row r="18" spans="1:2" ht="12.75">
      <c r="A18" s="13"/>
      <c r="B18" s="8"/>
    </row>
    <row r="19" spans="1:2" ht="52.5">
      <c r="A19" s="13">
        <f>A16+0.01</f>
        <v>3.0599999999999987</v>
      </c>
      <c r="B19" s="8" t="s">
        <v>74</v>
      </c>
    </row>
    <row r="20" spans="1:2" ht="12.75">
      <c r="A20" s="13"/>
      <c r="B20" s="8"/>
    </row>
    <row r="21" spans="1:2" ht="39">
      <c r="A21" s="13">
        <f>A19+0.01</f>
        <v>3.0699999999999985</v>
      </c>
      <c r="B21" s="8" t="s">
        <v>75</v>
      </c>
    </row>
    <row r="22" spans="1:2" ht="12.75">
      <c r="A22" s="13"/>
      <c r="B22" s="8"/>
    </row>
    <row r="23" spans="1:2" ht="39">
      <c r="A23" s="13">
        <f>A21+0.01</f>
        <v>3.0799999999999983</v>
      </c>
      <c r="B23" s="8" t="s">
        <v>76</v>
      </c>
    </row>
    <row r="24" spans="1:2" ht="12.75">
      <c r="A24" s="13"/>
      <c r="B24" s="8"/>
    </row>
    <row r="25" spans="1:2" ht="52.5">
      <c r="A25" s="13">
        <f>A21+0.01</f>
        <v>3.0799999999999983</v>
      </c>
      <c r="B25" s="8" t="s">
        <v>77</v>
      </c>
    </row>
    <row r="26" spans="1:2" ht="12.75">
      <c r="A26" s="13"/>
      <c r="B26" s="8" t="s">
        <v>300</v>
      </c>
    </row>
    <row r="27" spans="1:2" ht="12.75">
      <c r="A27" s="13"/>
      <c r="B27" s="8"/>
    </row>
    <row r="28" spans="1:2" ht="52.5">
      <c r="A28" s="13">
        <f>A25+0.01</f>
        <v>3.089999999999998</v>
      </c>
      <c r="B28" s="8" t="s">
        <v>301</v>
      </c>
    </row>
    <row r="29" spans="1:2" ht="12.75">
      <c r="A29" s="13"/>
      <c r="B29" s="8"/>
    </row>
    <row r="30" spans="1:2" ht="26.25">
      <c r="A30" s="13">
        <f>A28+0.01</f>
        <v>3.099999999999998</v>
      </c>
      <c r="B30" s="8" t="s">
        <v>78</v>
      </c>
    </row>
    <row r="31" spans="1:2" ht="12.75">
      <c r="A31" s="13"/>
      <c r="B31" s="8"/>
    </row>
    <row r="32" spans="1:2" ht="26.25">
      <c r="A32" s="13">
        <f>A30+0.01</f>
        <v>3.1099999999999977</v>
      </c>
      <c r="B32" s="8" t="s">
        <v>79</v>
      </c>
    </row>
    <row r="33" spans="1:2" ht="12.75">
      <c r="A33" s="13"/>
      <c r="B33" s="8"/>
    </row>
    <row r="34" spans="1:2" ht="26.25">
      <c r="A34" s="13">
        <f>A32+0.01</f>
        <v>3.1199999999999974</v>
      </c>
      <c r="B34" s="8" t="s">
        <v>80</v>
      </c>
    </row>
    <row r="35" spans="1:2" ht="12.75">
      <c r="A35" s="13"/>
      <c r="B35" s="8"/>
    </row>
    <row r="36" spans="1:2" ht="26.25">
      <c r="A36" s="13">
        <f>A34+0.01</f>
        <v>3.1299999999999972</v>
      </c>
      <c r="B36" s="8" t="s">
        <v>81</v>
      </c>
    </row>
    <row r="37" spans="1:2" ht="12.75">
      <c r="A37" s="13"/>
      <c r="B37" s="8"/>
    </row>
    <row r="38" spans="1:2" ht="39">
      <c r="A38" s="13">
        <f>A36+0.01</f>
        <v>3.139999999999997</v>
      </c>
      <c r="B38" s="8" t="s">
        <v>82</v>
      </c>
    </row>
    <row r="39" spans="1:2" ht="12.75">
      <c r="A39" s="13"/>
      <c r="B39" s="8"/>
    </row>
    <row r="40" spans="1:2" ht="52.5">
      <c r="A40" s="13">
        <f>A38+0.01</f>
        <v>3.149999999999997</v>
      </c>
      <c r="B40" s="8" t="s">
        <v>320</v>
      </c>
    </row>
    <row r="41" spans="1:2" ht="12.75">
      <c r="A41" s="13"/>
      <c r="B41" s="8"/>
    </row>
    <row r="42" spans="1:2" ht="39">
      <c r="A42" s="13">
        <f>A40+0.01</f>
        <v>3.1599999999999966</v>
      </c>
      <c r="B42" s="8" t="s">
        <v>83</v>
      </c>
    </row>
    <row r="43" spans="1:2" ht="12.75">
      <c r="A43" s="13"/>
      <c r="B43" s="8" t="s">
        <v>84</v>
      </c>
    </row>
    <row r="44" spans="1:2" ht="12.75">
      <c r="A44" s="13"/>
      <c r="B44" s="8"/>
    </row>
    <row r="45" spans="1:2" ht="26.25">
      <c r="A45" s="13">
        <f>A42+0.01</f>
        <v>3.1699999999999964</v>
      </c>
      <c r="B45" s="8" t="s">
        <v>85</v>
      </c>
    </row>
    <row r="46" spans="1:2" ht="26.25">
      <c r="A46" s="13"/>
      <c r="B46" s="8" t="s">
        <v>86</v>
      </c>
    </row>
    <row r="47" spans="1:2" ht="12.75">
      <c r="A47" s="13"/>
      <c r="B47" s="8"/>
    </row>
    <row r="48" spans="1:2" ht="12.75">
      <c r="A48" s="13"/>
      <c r="B48" s="14" t="s">
        <v>21</v>
      </c>
    </row>
    <row r="49" spans="1:2" ht="12.75">
      <c r="A49" s="13"/>
      <c r="B49" s="8"/>
    </row>
    <row r="50" spans="1:2" ht="12.75">
      <c r="A50" s="13"/>
      <c r="B50" s="8"/>
    </row>
    <row r="51" spans="1:2" ht="12.75">
      <c r="A51" s="13"/>
      <c r="B51" s="8"/>
    </row>
    <row r="52" spans="1:2" ht="12.75">
      <c r="A52" s="13"/>
      <c r="B52" s="8"/>
    </row>
    <row r="53" spans="1:2" ht="12.75">
      <c r="A53" s="13"/>
      <c r="B53" s="8"/>
    </row>
    <row r="54" spans="1:2" ht="12.75">
      <c r="A54" s="13"/>
      <c r="B54" s="8"/>
    </row>
    <row r="55" spans="1:2" ht="12.75">
      <c r="A55" s="13"/>
      <c r="B55" s="8"/>
    </row>
    <row r="56" spans="1:2" ht="12.75">
      <c r="A56" s="13"/>
      <c r="B56" s="8"/>
    </row>
    <row r="57" spans="1:2" ht="12.75">
      <c r="A57" s="13"/>
      <c r="B57" s="8"/>
    </row>
    <row r="58" spans="1:2" ht="12.75">
      <c r="A58" s="13"/>
      <c r="B58" s="8"/>
    </row>
    <row r="59" spans="1:2" ht="12.75">
      <c r="A59" s="13"/>
      <c r="B59" s="8"/>
    </row>
    <row r="60" spans="1:2" ht="12.75">
      <c r="A60" s="13"/>
      <c r="B60" s="8"/>
    </row>
    <row r="61" spans="1:2" ht="12.75">
      <c r="A61" s="13"/>
      <c r="B61" s="8"/>
    </row>
    <row r="62" spans="1:2" ht="12.75">
      <c r="A62" s="13"/>
      <c r="B62" s="8"/>
    </row>
    <row r="63" spans="1:2" ht="12.75">
      <c r="A63" s="13"/>
      <c r="B63" s="8"/>
    </row>
    <row r="64" spans="1:2" ht="12.75">
      <c r="A64" s="13"/>
      <c r="B64" s="8"/>
    </row>
    <row r="65" spans="1:2" ht="12.75">
      <c r="A65" s="13"/>
      <c r="B65" s="8"/>
    </row>
    <row r="66" spans="1:2" ht="12.75">
      <c r="A66" s="13"/>
      <c r="B66" s="8"/>
    </row>
    <row r="67" spans="1:2" ht="12.75">
      <c r="A67" s="13"/>
      <c r="B67" s="8"/>
    </row>
    <row r="68" spans="1:2" ht="12.75">
      <c r="A68" s="13"/>
      <c r="B68" s="8"/>
    </row>
    <row r="69" spans="1:2" ht="12.75">
      <c r="A69" s="13"/>
      <c r="B69" s="8"/>
    </row>
    <row r="70" spans="1:2" ht="12.75">
      <c r="A70" s="13"/>
      <c r="B70" s="8"/>
    </row>
    <row r="71" spans="1:2" ht="12.75">
      <c r="A71" s="13"/>
      <c r="B71" s="8"/>
    </row>
    <row r="72" spans="1:2" ht="12.75">
      <c r="A72" s="13"/>
      <c r="B72" s="8"/>
    </row>
    <row r="73" spans="1:2" ht="12.75">
      <c r="A73" s="13"/>
      <c r="B73" s="8"/>
    </row>
    <row r="74" spans="1:2" ht="12.75">
      <c r="A74" s="13"/>
      <c r="B74" s="8"/>
    </row>
    <row r="75" spans="1:2" ht="12.75">
      <c r="A75" s="13"/>
      <c r="B75" s="8"/>
    </row>
    <row r="76" spans="1:2" ht="12.75">
      <c r="A76" s="13"/>
      <c r="B76" s="8"/>
    </row>
    <row r="77" spans="1:2" ht="12.75">
      <c r="A77" s="13"/>
      <c r="B77" s="8"/>
    </row>
    <row r="78" spans="1:2" ht="12.75">
      <c r="A78" s="13"/>
      <c r="B78" s="8"/>
    </row>
    <row r="79" spans="1:2" ht="12.75">
      <c r="A79" s="13"/>
      <c r="B79" s="8"/>
    </row>
    <row r="80" spans="1:2" ht="12.75">
      <c r="A80" s="13"/>
      <c r="B80" s="8"/>
    </row>
    <row r="81" spans="1:2" ht="12.75">
      <c r="A81" s="13"/>
      <c r="B81" s="8"/>
    </row>
    <row r="82" spans="1:2" ht="12.75">
      <c r="A82" s="13"/>
      <c r="B82" s="8"/>
    </row>
    <row r="83" spans="1:2" ht="12.75">
      <c r="A83" s="13"/>
      <c r="B83" s="8"/>
    </row>
    <row r="84" spans="1:2" ht="12.75">
      <c r="A84" s="13"/>
      <c r="B84" s="8"/>
    </row>
    <row r="85" spans="1:2" ht="12.75">
      <c r="A85" s="13"/>
      <c r="B85" s="8"/>
    </row>
    <row r="86" spans="1:2" ht="12.75">
      <c r="A86" s="13"/>
      <c r="B86" s="8"/>
    </row>
    <row r="87" spans="1:2" ht="12.75">
      <c r="A87" s="13"/>
      <c r="B87" s="8"/>
    </row>
    <row r="88" spans="1:2" ht="12.75">
      <c r="A88" s="13"/>
      <c r="B88" s="8"/>
    </row>
    <row r="89" spans="1:2" ht="12.75">
      <c r="A89" s="13"/>
      <c r="B89" s="8"/>
    </row>
    <row r="90" spans="1:2" ht="12.75">
      <c r="A90" s="13"/>
      <c r="B90" s="8"/>
    </row>
    <row r="91" spans="1:2" ht="12.75">
      <c r="A91" s="13"/>
      <c r="B91" s="8"/>
    </row>
    <row r="92" spans="1:2" ht="12.75">
      <c r="A92" s="13"/>
      <c r="B92" s="8"/>
    </row>
    <row r="93" spans="1:2" ht="12.75">
      <c r="A93" s="13"/>
      <c r="B93" s="8"/>
    </row>
    <row r="94" spans="1:2" ht="12.75">
      <c r="A94" s="13"/>
      <c r="B94" s="8"/>
    </row>
    <row r="95" spans="1:2" ht="12.75">
      <c r="A95" s="13"/>
      <c r="B95" s="8"/>
    </row>
    <row r="96" spans="1:2" ht="12.75">
      <c r="A96" s="13"/>
      <c r="B96" s="8"/>
    </row>
    <row r="97" spans="1:2" ht="12.75">
      <c r="A97" s="13"/>
      <c r="B97" s="8"/>
    </row>
    <row r="98" spans="1:2" ht="12.75">
      <c r="A98" s="13"/>
      <c r="B98" s="8"/>
    </row>
    <row r="99" spans="1:2" ht="12.75">
      <c r="A99" s="13"/>
      <c r="B99" s="8"/>
    </row>
    <row r="100" spans="1:2" ht="12.75">
      <c r="A100" s="13"/>
      <c r="B100" s="8"/>
    </row>
    <row r="101" spans="1:2" ht="12.75">
      <c r="A101" s="13"/>
      <c r="B101" s="8"/>
    </row>
    <row r="102" spans="1:2" ht="12.75">
      <c r="A102" s="13"/>
      <c r="B102" s="8"/>
    </row>
    <row r="103" spans="1:2" ht="12.75">
      <c r="A103" s="13"/>
      <c r="B103" s="8"/>
    </row>
    <row r="104" spans="1:2" ht="12.75">
      <c r="A104" s="13"/>
      <c r="B104" s="8"/>
    </row>
    <row r="105" spans="1:2" ht="12.75">
      <c r="A105" s="13"/>
      <c r="B105" s="8"/>
    </row>
    <row r="106" spans="1:2" ht="12.75">
      <c r="A106" s="13"/>
      <c r="B106" s="8"/>
    </row>
    <row r="107" spans="1:2" ht="12.75">
      <c r="A107" s="13"/>
      <c r="B107" s="8"/>
    </row>
    <row r="108" spans="1:2" ht="12.75">
      <c r="A108" s="13"/>
      <c r="B108" s="8"/>
    </row>
    <row r="109" spans="1:2" ht="12.75">
      <c r="A109" s="13"/>
      <c r="B109" s="8"/>
    </row>
    <row r="110" spans="1:2" ht="12.75">
      <c r="A110" s="13"/>
      <c r="B110" s="8"/>
    </row>
    <row r="111" spans="1:2" ht="12.75">
      <c r="A111" s="13"/>
      <c r="B111" s="8"/>
    </row>
    <row r="112" spans="1:2" ht="12.75">
      <c r="A112" s="13"/>
      <c r="B112" s="8"/>
    </row>
    <row r="113" spans="1:2" ht="12.75">
      <c r="A113" s="13"/>
      <c r="B113" s="8"/>
    </row>
    <row r="114" spans="1:2" ht="12.75">
      <c r="A114" s="13"/>
      <c r="B114" s="8"/>
    </row>
    <row r="115" spans="1:2" ht="12.75">
      <c r="A115" s="13"/>
      <c r="B115" s="8"/>
    </row>
    <row r="116" spans="1:2" ht="12.75">
      <c r="A116" s="13"/>
      <c r="B116" s="8"/>
    </row>
    <row r="117" spans="1:2" ht="12.75">
      <c r="A117" s="13"/>
      <c r="B117" s="8"/>
    </row>
    <row r="118" spans="1:2" ht="12.75">
      <c r="A118" s="13"/>
      <c r="B118" s="8"/>
    </row>
    <row r="119" spans="1:2" ht="12.75">
      <c r="A119" s="13"/>
      <c r="B119" s="8"/>
    </row>
    <row r="120" spans="1:2" ht="12.75">
      <c r="A120" s="13"/>
      <c r="B120" s="8"/>
    </row>
    <row r="121" spans="1:2" ht="12.75">
      <c r="A121" s="13"/>
      <c r="B121" s="8"/>
    </row>
    <row r="122" spans="1:2" ht="12.75">
      <c r="A122" s="13"/>
      <c r="B122" s="8"/>
    </row>
    <row r="123" spans="1:2" ht="12.75">
      <c r="A123" s="13"/>
      <c r="B123" s="8"/>
    </row>
    <row r="124" spans="1:2" ht="12.75">
      <c r="A124" s="13"/>
      <c r="B124" s="8"/>
    </row>
    <row r="125" spans="1:2" ht="12.75">
      <c r="A125" s="13"/>
      <c r="B125" s="8"/>
    </row>
    <row r="126" spans="1:2" ht="12.75">
      <c r="A126" s="13"/>
      <c r="B126" s="8"/>
    </row>
    <row r="127" spans="1:2" ht="12.75">
      <c r="A127" s="13"/>
      <c r="B127" s="8"/>
    </row>
    <row r="128" spans="1:2" ht="12.75">
      <c r="A128" s="13"/>
      <c r="B128" s="8"/>
    </row>
    <row r="129" spans="1:2" ht="12.75">
      <c r="A129" s="13"/>
      <c r="B129" s="8"/>
    </row>
    <row r="130" spans="1:2" ht="12.75">
      <c r="A130" s="13"/>
      <c r="B130" s="8"/>
    </row>
    <row r="131" spans="1:2" ht="12.75">
      <c r="A131" s="13"/>
      <c r="B131" s="8"/>
    </row>
    <row r="132" spans="1:2" ht="12.75">
      <c r="A132" s="13"/>
      <c r="B132" s="8"/>
    </row>
    <row r="133" spans="1:2" ht="12.75">
      <c r="A133" s="13"/>
      <c r="B133" s="8"/>
    </row>
    <row r="134" spans="1:2" ht="12.75">
      <c r="A134" s="13"/>
      <c r="B134" s="8"/>
    </row>
    <row r="135" spans="1:2" ht="12.75">
      <c r="A135" s="13"/>
      <c r="B135" s="8"/>
    </row>
    <row r="136" spans="1:2" ht="12.75">
      <c r="A136" s="13"/>
      <c r="B136" s="8"/>
    </row>
    <row r="137" spans="1:2" ht="12.75">
      <c r="A137" s="13"/>
      <c r="B137" s="8"/>
    </row>
    <row r="138" spans="1:2" ht="12.75">
      <c r="A138" s="13"/>
      <c r="B138" s="8"/>
    </row>
    <row r="139" spans="1:2" ht="12.75">
      <c r="A139" s="13"/>
      <c r="B139" s="8"/>
    </row>
    <row r="140" spans="1:2" ht="12.75">
      <c r="A140" s="13"/>
      <c r="B140" s="8"/>
    </row>
    <row r="141" spans="1:2" ht="12.75">
      <c r="A141" s="13"/>
      <c r="B141" s="8"/>
    </row>
    <row r="142" spans="1:2" ht="12.75">
      <c r="A142" s="13"/>
      <c r="B142" s="8"/>
    </row>
    <row r="143" spans="1:2" ht="12.75">
      <c r="A143" s="13"/>
      <c r="B143" s="8"/>
    </row>
    <row r="144" spans="1:2" ht="12.75">
      <c r="A144" s="13"/>
      <c r="B144" s="8"/>
    </row>
    <row r="145" spans="1:2" ht="12.75">
      <c r="A145" s="13"/>
      <c r="B145" s="8"/>
    </row>
    <row r="146" spans="1:2" ht="12.75">
      <c r="A146" s="13"/>
      <c r="B146" s="8"/>
    </row>
    <row r="147" spans="1:2" ht="12.75">
      <c r="A147" s="13"/>
      <c r="B147" s="8"/>
    </row>
    <row r="148" spans="1:2" ht="12.75">
      <c r="A148" s="13"/>
      <c r="B148" s="8"/>
    </row>
    <row r="149" spans="1:2" ht="12.75">
      <c r="A149" s="13"/>
      <c r="B149" s="8"/>
    </row>
    <row r="150" spans="1:2" ht="12.75">
      <c r="A150" s="13"/>
      <c r="B150" s="8"/>
    </row>
    <row r="151" spans="1:2" ht="12.75">
      <c r="A151" s="13"/>
      <c r="B151" s="8"/>
    </row>
    <row r="152" spans="1:2" ht="12.75">
      <c r="A152" s="13"/>
      <c r="B152" s="8"/>
    </row>
    <row r="153" spans="1:2" ht="12.75">
      <c r="A153" s="13"/>
      <c r="B153" s="8"/>
    </row>
    <row r="154" spans="1:2" ht="12.75">
      <c r="A154" s="13"/>
      <c r="B154" s="8"/>
    </row>
    <row r="155" spans="1:2" ht="12.75">
      <c r="A155" s="13"/>
      <c r="B155" s="8"/>
    </row>
    <row r="156" spans="1:2" ht="12.75">
      <c r="A156" s="13"/>
      <c r="B156" s="8"/>
    </row>
    <row r="157" spans="1:2" ht="12.75">
      <c r="A157" s="13"/>
      <c r="B157" s="8"/>
    </row>
    <row r="158" spans="1:2" ht="12.75">
      <c r="A158" s="13"/>
      <c r="B158" s="8"/>
    </row>
    <row r="159" spans="1:2" ht="12.75">
      <c r="A159" s="13"/>
      <c r="B159" s="8"/>
    </row>
    <row r="160" spans="1:2" ht="12.75">
      <c r="A160" s="13"/>
      <c r="B160" s="8"/>
    </row>
    <row r="161" spans="1:2" ht="12.75">
      <c r="A161" s="13"/>
      <c r="B161" s="8"/>
    </row>
    <row r="162" spans="1:2" ht="12.75">
      <c r="A162" s="13"/>
      <c r="B162" s="8"/>
    </row>
    <row r="163" spans="1:2" ht="12.75">
      <c r="A163" s="13"/>
      <c r="B163" s="8"/>
    </row>
    <row r="164" spans="1:2" ht="12.75">
      <c r="A164" s="13"/>
      <c r="B164" s="8"/>
    </row>
    <row r="165" spans="1:2" ht="12.75">
      <c r="A165" s="13"/>
      <c r="B165" s="8"/>
    </row>
    <row r="166" spans="1:2" ht="12.75">
      <c r="A166" s="13"/>
      <c r="B166" s="8"/>
    </row>
    <row r="167" spans="1:2" ht="12.75">
      <c r="A167" s="13"/>
      <c r="B167" s="8"/>
    </row>
    <row r="168" spans="1:2" ht="12.75">
      <c r="A168" s="13"/>
      <c r="B168" s="8"/>
    </row>
    <row r="169" spans="1:2" ht="12.75">
      <c r="A169" s="13"/>
      <c r="B169" s="8"/>
    </row>
    <row r="170" spans="1:2" ht="12.75">
      <c r="A170" s="13"/>
      <c r="B170" s="8"/>
    </row>
    <row r="171" spans="1:2" ht="12.75">
      <c r="A171" s="13"/>
      <c r="B171" s="8"/>
    </row>
    <row r="172" spans="1:2" ht="12.75">
      <c r="A172" s="13"/>
      <c r="B172" s="8"/>
    </row>
    <row r="173" spans="1:2" ht="12.75">
      <c r="A173" s="13"/>
      <c r="B173" s="8"/>
    </row>
    <row r="174" spans="1:2" ht="12.75">
      <c r="A174" s="13"/>
      <c r="B174" s="8"/>
    </row>
    <row r="175" spans="1:2" ht="12.75">
      <c r="A175" s="13"/>
      <c r="B175" s="8"/>
    </row>
    <row r="176" spans="1:2" ht="12.75">
      <c r="A176" s="13"/>
      <c r="B176" s="8"/>
    </row>
    <row r="177" spans="1:2" ht="12.75">
      <c r="A177" s="13"/>
      <c r="B177" s="8"/>
    </row>
    <row r="178" spans="1:2" ht="12.75">
      <c r="A178" s="13"/>
      <c r="B178" s="8"/>
    </row>
    <row r="179" spans="1:2" ht="12.75">
      <c r="A179" s="13"/>
      <c r="B179" s="8"/>
    </row>
    <row r="180" spans="1:2" ht="12.75">
      <c r="A180" s="13"/>
      <c r="B180" s="8"/>
    </row>
    <row r="181" spans="1:2" ht="12.75">
      <c r="A181" s="13"/>
      <c r="B181" s="8"/>
    </row>
    <row r="182" spans="1:2" ht="12.75">
      <c r="A182" s="13"/>
      <c r="B182" s="8"/>
    </row>
    <row r="183" spans="1:2" ht="12.75">
      <c r="A183" s="13"/>
      <c r="B183" s="8"/>
    </row>
    <row r="184" spans="1:2" ht="12.75">
      <c r="A184" s="13"/>
      <c r="B184" s="8"/>
    </row>
    <row r="185" spans="1:2" ht="12.75">
      <c r="A185" s="13"/>
      <c r="B185" s="8"/>
    </row>
    <row r="186" spans="1:2" ht="12.75">
      <c r="A186" s="13"/>
      <c r="B186" s="8"/>
    </row>
    <row r="187" spans="1:2" ht="12.75">
      <c r="A187" s="13"/>
      <c r="B187" s="8"/>
    </row>
    <row r="188" spans="1:2" ht="12.75">
      <c r="A188" s="13"/>
      <c r="B188" s="8"/>
    </row>
    <row r="189" spans="1:2" ht="12.75">
      <c r="A189" s="13"/>
      <c r="B189" s="8"/>
    </row>
    <row r="190" spans="1:2" ht="12.75">
      <c r="A190" s="13"/>
      <c r="B190" s="8"/>
    </row>
    <row r="191" spans="1:2" ht="12.75">
      <c r="A191" s="13"/>
      <c r="B191" s="8"/>
    </row>
    <row r="192" spans="1:2" ht="12.75">
      <c r="A192" s="13"/>
      <c r="B192" s="8"/>
    </row>
    <row r="193" spans="1:2" ht="12.75">
      <c r="A193" s="13"/>
      <c r="B193" s="8"/>
    </row>
    <row r="194" spans="1:2" ht="12.75">
      <c r="A194" s="13"/>
      <c r="B194" s="8"/>
    </row>
    <row r="195" spans="1:2" ht="12.75">
      <c r="A195" s="13"/>
      <c r="B195" s="8"/>
    </row>
    <row r="196" spans="1:2" ht="12.75">
      <c r="A196" s="13"/>
      <c r="B196" s="8"/>
    </row>
    <row r="197" spans="1:2" ht="12.75">
      <c r="A197" s="13"/>
      <c r="B197" s="8"/>
    </row>
    <row r="198" spans="1:2" ht="12.75">
      <c r="A198" s="13"/>
      <c r="B198" s="8"/>
    </row>
    <row r="199" spans="1:2" ht="12.75">
      <c r="A199" s="13"/>
      <c r="B199" s="8"/>
    </row>
    <row r="200" spans="1:2" ht="12.75">
      <c r="A200" s="13"/>
      <c r="B200" s="8"/>
    </row>
    <row r="201" spans="1:2" ht="12.75">
      <c r="A201" s="13"/>
      <c r="B201" s="8"/>
    </row>
    <row r="202" spans="1:2" ht="12.75">
      <c r="A202" s="13"/>
      <c r="B202" s="8"/>
    </row>
    <row r="203" spans="1:2" ht="12.75">
      <c r="A203" s="13"/>
      <c r="B203" s="8"/>
    </row>
    <row r="204" spans="1:2" ht="12.75">
      <c r="A204" s="13"/>
      <c r="B204" s="8"/>
    </row>
    <row r="205" spans="1:2" ht="12.75">
      <c r="A205" s="13"/>
      <c r="B205" s="8"/>
    </row>
    <row r="206" spans="1:2" ht="12.75">
      <c r="A206" s="13"/>
      <c r="B206" s="8"/>
    </row>
    <row r="207" spans="1:2" ht="12.75">
      <c r="A207" s="13"/>
      <c r="B207" s="8"/>
    </row>
    <row r="208" spans="1:2" ht="12.75">
      <c r="A208" s="13"/>
      <c r="B208" s="8"/>
    </row>
    <row r="209" spans="1:2" ht="12.75">
      <c r="A209" s="13"/>
      <c r="B209" s="8"/>
    </row>
    <row r="210" spans="1:2" ht="12.75">
      <c r="A210" s="13"/>
      <c r="B210" s="8"/>
    </row>
    <row r="211" spans="1:2" ht="12.75">
      <c r="A211" s="13"/>
      <c r="B211" s="8"/>
    </row>
    <row r="212" spans="1:2" ht="12.75">
      <c r="A212" s="13"/>
      <c r="B212" s="8"/>
    </row>
    <row r="213" spans="1:2" ht="12.75">
      <c r="A213" s="13"/>
      <c r="B213" s="8"/>
    </row>
    <row r="214" spans="1:2" ht="12.75">
      <c r="A214" s="13"/>
      <c r="B214" s="8"/>
    </row>
    <row r="215" spans="1:2" ht="12.75">
      <c r="A215" s="13"/>
      <c r="B215" s="8"/>
    </row>
    <row r="216" spans="1:2" ht="12.75">
      <c r="A216" s="13"/>
      <c r="B216" s="8"/>
    </row>
    <row r="217" spans="1:2" ht="12.75">
      <c r="A217" s="13"/>
      <c r="B217" s="8"/>
    </row>
    <row r="218" spans="1:2" ht="12.75">
      <c r="A218" s="13"/>
      <c r="B218" s="8"/>
    </row>
    <row r="219" spans="1:2" ht="12.75">
      <c r="A219" s="13"/>
      <c r="B219" s="8"/>
    </row>
    <row r="220" spans="1:2" ht="12.75">
      <c r="A220" s="13"/>
      <c r="B220" s="8"/>
    </row>
    <row r="221" spans="1:2" ht="12.75">
      <c r="A221" s="13"/>
      <c r="B221" s="8"/>
    </row>
    <row r="222" spans="1:2" ht="12.75">
      <c r="A222" s="13"/>
      <c r="B222" s="8"/>
    </row>
    <row r="223" spans="1:2" ht="12.75">
      <c r="A223" s="13"/>
      <c r="B223" s="8"/>
    </row>
    <row r="224" spans="1:2" ht="12.75">
      <c r="A224" s="13"/>
      <c r="B224" s="8"/>
    </row>
    <row r="225" spans="1:2" ht="12.75">
      <c r="A225" s="13"/>
      <c r="B225" s="8"/>
    </row>
    <row r="226" spans="1:2" ht="12.75">
      <c r="A226" s="13"/>
      <c r="B226" s="8"/>
    </row>
    <row r="227" spans="1:2" ht="12.75">
      <c r="A227" s="13"/>
      <c r="B227" s="8"/>
    </row>
    <row r="228" spans="1:2" ht="12.75">
      <c r="A228" s="13"/>
      <c r="B228" s="8"/>
    </row>
    <row r="229" spans="1:2" ht="12.75">
      <c r="A229" s="13"/>
      <c r="B229" s="8"/>
    </row>
    <row r="230" spans="1:2" ht="12.75">
      <c r="A230" s="13"/>
      <c r="B230" s="8"/>
    </row>
    <row r="231" spans="1:2" ht="12.75">
      <c r="A231" s="13"/>
      <c r="B231" s="8"/>
    </row>
    <row r="232" spans="1:2" ht="12.75">
      <c r="A232" s="13"/>
      <c r="B232" s="8"/>
    </row>
    <row r="233" spans="1:2" ht="12.75">
      <c r="A233" s="13"/>
      <c r="B233" s="8"/>
    </row>
    <row r="234" spans="1:2" ht="12.75">
      <c r="A234" s="13"/>
      <c r="B234" s="8"/>
    </row>
    <row r="235" spans="1:2" ht="12.75">
      <c r="A235" s="13"/>
      <c r="B235" s="8"/>
    </row>
    <row r="236" spans="1:2" ht="12.75">
      <c r="A236" s="13"/>
      <c r="B236" s="8"/>
    </row>
    <row r="237" spans="1:2" ht="12.75">
      <c r="A237" s="13"/>
      <c r="B237" s="8"/>
    </row>
    <row r="238" spans="1:2" ht="12.75">
      <c r="A238" s="13"/>
      <c r="B238" s="8"/>
    </row>
    <row r="239" spans="1:2" ht="12.75">
      <c r="A239" s="13"/>
      <c r="B239" s="8"/>
    </row>
    <row r="240" spans="1:2" ht="12.75">
      <c r="A240" s="13"/>
      <c r="B240" s="8"/>
    </row>
    <row r="241" spans="1:2" ht="12.75">
      <c r="A241" s="13"/>
      <c r="B241" s="8"/>
    </row>
    <row r="242" spans="1:2" ht="12.75">
      <c r="A242" s="13"/>
      <c r="B242" s="8"/>
    </row>
    <row r="243" spans="1:2" ht="12.75">
      <c r="A243" s="13"/>
      <c r="B243" s="8"/>
    </row>
    <row r="244" spans="1:2" ht="12.75">
      <c r="A244" s="13"/>
      <c r="B244" s="8"/>
    </row>
    <row r="245" spans="1:2" ht="12.75">
      <c r="A245" s="13"/>
      <c r="B245" s="8"/>
    </row>
    <row r="246" spans="1:2" ht="12.75">
      <c r="A246" s="13"/>
      <c r="B246" s="8"/>
    </row>
    <row r="247" spans="1:2" ht="12.75">
      <c r="A247" s="13"/>
      <c r="B247" s="8"/>
    </row>
    <row r="248" spans="1:2" ht="12.75">
      <c r="A248" s="13"/>
      <c r="B248" s="8"/>
    </row>
    <row r="249" spans="1:2" ht="12.75">
      <c r="A249" s="13"/>
      <c r="B249" s="8"/>
    </row>
    <row r="250" spans="1:2" ht="12.75">
      <c r="A250" s="13"/>
      <c r="B250" s="8"/>
    </row>
    <row r="251" spans="1:2" ht="12.75">
      <c r="A251" s="13"/>
      <c r="B251" s="8"/>
    </row>
    <row r="252" spans="1:2" ht="12.75">
      <c r="A252" s="13"/>
      <c r="B252" s="8"/>
    </row>
    <row r="253" spans="1:2" ht="12.75">
      <c r="A253" s="13"/>
      <c r="B253" s="8"/>
    </row>
    <row r="254" spans="1:2" ht="12.75">
      <c r="A254" s="13"/>
      <c r="B254" s="8"/>
    </row>
    <row r="255" spans="1:2" ht="12.75">
      <c r="A255" s="13"/>
      <c r="B255" s="8"/>
    </row>
    <row r="256" spans="1:2" ht="12.75">
      <c r="A256" s="13"/>
      <c r="B256" s="8"/>
    </row>
    <row r="257" spans="1:2" ht="12.75">
      <c r="A257" s="13"/>
      <c r="B257" s="8"/>
    </row>
    <row r="258" spans="1:2" ht="12.75">
      <c r="A258" s="13"/>
      <c r="B258" s="8"/>
    </row>
    <row r="259" spans="1:2" ht="12.75">
      <c r="A259" s="13"/>
      <c r="B259" s="8"/>
    </row>
    <row r="260" spans="1:2" ht="12.75">
      <c r="A260" s="13"/>
      <c r="B260" s="8"/>
    </row>
    <row r="261" spans="1:2" ht="12.75">
      <c r="A261" s="13"/>
      <c r="B261" s="8"/>
    </row>
    <row r="262" spans="1:2" ht="12.75">
      <c r="A262" s="13"/>
      <c r="B262" s="8"/>
    </row>
    <row r="263" spans="1:2" ht="12.75">
      <c r="A263" s="13"/>
      <c r="B263" s="8"/>
    </row>
    <row r="264" spans="1:2" ht="12.75">
      <c r="A264" s="13"/>
      <c r="B264" s="8"/>
    </row>
    <row r="265" spans="1:2" ht="12.75">
      <c r="A265" s="13"/>
      <c r="B265" s="8"/>
    </row>
    <row r="266" spans="1:2" ht="12.75">
      <c r="A266" s="13"/>
      <c r="B266" s="8"/>
    </row>
    <row r="267" spans="1:2" ht="12.75">
      <c r="A267" s="13"/>
      <c r="B267" s="8"/>
    </row>
    <row r="268" spans="1:2" ht="12.75">
      <c r="A268" s="13"/>
      <c r="B268" s="8"/>
    </row>
    <row r="269" spans="1:2" ht="12.75">
      <c r="A269" s="13"/>
      <c r="B269" s="8"/>
    </row>
    <row r="270" spans="1:2" ht="12.75">
      <c r="A270" s="13"/>
      <c r="B270" s="8"/>
    </row>
    <row r="271" spans="1:2" ht="12.75">
      <c r="A271" s="13"/>
      <c r="B271" s="8"/>
    </row>
    <row r="272" spans="1:2" ht="12.75">
      <c r="A272" s="13"/>
      <c r="B272" s="8"/>
    </row>
    <row r="273" spans="1:2" ht="12.75">
      <c r="A273" s="13"/>
      <c r="B273" s="8"/>
    </row>
    <row r="274" spans="1:2" ht="12.75">
      <c r="A274" s="13"/>
      <c r="B274" s="8"/>
    </row>
    <row r="275" spans="1:2" ht="12.75">
      <c r="A275" s="13"/>
      <c r="B275" s="8"/>
    </row>
    <row r="276" spans="1:2" ht="12.75">
      <c r="A276" s="13"/>
      <c r="B276" s="8"/>
    </row>
    <row r="277" spans="1:2" ht="12.75">
      <c r="A277" s="13"/>
      <c r="B277" s="8"/>
    </row>
    <row r="278" spans="1:2" ht="12.75">
      <c r="A278" s="13"/>
      <c r="B278" s="8"/>
    </row>
    <row r="279" spans="1:2" ht="12.75">
      <c r="A279" s="13"/>
      <c r="B279" s="8"/>
    </row>
    <row r="280" spans="1:2" ht="12.75">
      <c r="A280" s="13"/>
      <c r="B280" s="8"/>
    </row>
    <row r="281" spans="1:2" ht="12.75">
      <c r="A281" s="13"/>
      <c r="B281" s="8"/>
    </row>
    <row r="282" spans="1:2" ht="12.75">
      <c r="A282" s="13"/>
      <c r="B282" s="8"/>
    </row>
    <row r="283" spans="1:2" ht="12.75">
      <c r="A283" s="13"/>
      <c r="B283" s="8"/>
    </row>
    <row r="284" spans="1:2" ht="12.75">
      <c r="A284" s="13"/>
      <c r="B284" s="8"/>
    </row>
    <row r="285" spans="1:2" ht="12.75">
      <c r="A285" s="13"/>
      <c r="B285" s="8"/>
    </row>
    <row r="286" spans="1:2" ht="12.75">
      <c r="A286" s="13"/>
      <c r="B286" s="8"/>
    </row>
    <row r="287" spans="1:2" ht="12.75">
      <c r="A287" s="13"/>
      <c r="B287" s="8"/>
    </row>
    <row r="288" spans="1:2" ht="12.75">
      <c r="A288" s="13"/>
      <c r="B288" s="8"/>
    </row>
    <row r="289" spans="1:2" ht="12.75">
      <c r="A289" s="13"/>
      <c r="B289" s="8"/>
    </row>
    <row r="290" spans="1:2" ht="12.75">
      <c r="A290" s="13"/>
      <c r="B290" s="8"/>
    </row>
    <row r="291" spans="1:2" ht="12.75">
      <c r="A291" s="13"/>
      <c r="B291" s="8"/>
    </row>
    <row r="292" spans="1:2" ht="12.75">
      <c r="A292" s="13"/>
      <c r="B292" s="8"/>
    </row>
    <row r="293" spans="1:2" ht="12.75">
      <c r="A293" s="13"/>
      <c r="B293" s="8"/>
    </row>
    <row r="294" spans="1:2" ht="12.75">
      <c r="A294" s="13"/>
      <c r="B294" s="8"/>
    </row>
    <row r="295" spans="1:2" ht="12.75">
      <c r="A295" s="13"/>
      <c r="B295" s="8"/>
    </row>
    <row r="296" spans="1:2" ht="12.75">
      <c r="A296" s="13"/>
      <c r="B296" s="8"/>
    </row>
    <row r="297" spans="1:2" ht="12.75">
      <c r="A297" s="13"/>
      <c r="B297" s="8"/>
    </row>
    <row r="298" spans="1:2" ht="12.75">
      <c r="A298" s="13"/>
      <c r="B298" s="8"/>
    </row>
    <row r="299" spans="1:2" ht="12.75">
      <c r="A299" s="13"/>
      <c r="B299" s="8"/>
    </row>
    <row r="300" spans="1:2" ht="12.75">
      <c r="A300" s="13"/>
      <c r="B300" s="8"/>
    </row>
    <row r="301" spans="1:2" ht="12.75">
      <c r="A301" s="13"/>
      <c r="B301" s="8"/>
    </row>
    <row r="302" spans="1:2" ht="12.75">
      <c r="A302" s="13"/>
      <c r="B302" s="8"/>
    </row>
    <row r="303" spans="1:2" ht="12.75">
      <c r="A303" s="13"/>
      <c r="B303" s="8"/>
    </row>
    <row r="304" spans="1:2" ht="12.75">
      <c r="A304" s="13"/>
      <c r="B304" s="8"/>
    </row>
    <row r="305" spans="1:2" ht="12.75">
      <c r="A305" s="13"/>
      <c r="B305" s="8"/>
    </row>
    <row r="306" spans="1:2" ht="12.75">
      <c r="A306" s="13"/>
      <c r="B306" s="8"/>
    </row>
    <row r="307" spans="1:2" ht="12.75">
      <c r="A307" s="13"/>
      <c r="B307" s="8"/>
    </row>
    <row r="308" spans="1:2" ht="12.75">
      <c r="A308" s="13"/>
      <c r="B308" s="8"/>
    </row>
    <row r="309" spans="1:2" ht="12.75">
      <c r="A309" s="13"/>
      <c r="B309" s="8"/>
    </row>
    <row r="310" spans="1:2" ht="12.75">
      <c r="A310" s="13"/>
      <c r="B310" s="8"/>
    </row>
    <row r="311" spans="1:2" ht="12.75">
      <c r="A311" s="13"/>
      <c r="B311" s="8"/>
    </row>
    <row r="312" spans="1:2" ht="12.75">
      <c r="A312" s="13"/>
      <c r="B312" s="8"/>
    </row>
    <row r="313" spans="1:2" ht="12.75">
      <c r="A313" s="13"/>
      <c r="B313" s="8"/>
    </row>
    <row r="314" spans="1:2" ht="12.75">
      <c r="A314" s="13"/>
      <c r="B314" s="8"/>
    </row>
    <row r="315" spans="1:2" ht="12.75">
      <c r="A315" s="13"/>
      <c r="B315" s="8"/>
    </row>
    <row r="316" spans="1:2" ht="12.75">
      <c r="A316" s="13"/>
      <c r="B316" s="8"/>
    </row>
    <row r="317" spans="1:2" ht="12.75">
      <c r="A317" s="9"/>
      <c r="B317" s="8"/>
    </row>
    <row r="318" spans="1:2" ht="12.75">
      <c r="A318" s="9"/>
      <c r="B318" s="8"/>
    </row>
    <row r="319" spans="1:2" ht="12.75">
      <c r="A319" s="9"/>
      <c r="B319" s="8"/>
    </row>
    <row r="320" spans="1:2" ht="12.75">
      <c r="A320" s="9"/>
      <c r="B320" s="8"/>
    </row>
    <row r="321" spans="1:2" ht="12.75">
      <c r="A321" s="9"/>
      <c r="B321" s="8"/>
    </row>
    <row r="322" spans="1:2" ht="12.75">
      <c r="A322" s="9"/>
      <c r="B322" s="8"/>
    </row>
    <row r="323" spans="1:2" ht="12.75">
      <c r="A323" s="9"/>
      <c r="B323" s="8"/>
    </row>
    <row r="324" spans="1:2" ht="12.75">
      <c r="A324" s="9"/>
      <c r="B324" s="8"/>
    </row>
    <row r="325" spans="1:2" ht="12.75">
      <c r="A325" s="9"/>
      <c r="B325" s="8"/>
    </row>
    <row r="326" spans="1:2" ht="12.75">
      <c r="A326" s="9"/>
      <c r="B326" s="8"/>
    </row>
    <row r="327" spans="1:2" ht="12.75">
      <c r="A327" s="9"/>
      <c r="B327" s="8"/>
    </row>
    <row r="328" spans="1:2" ht="12.75">
      <c r="A328" s="9"/>
      <c r="B328" s="8"/>
    </row>
    <row r="329" spans="1:2" ht="12.75">
      <c r="A329" s="9"/>
      <c r="B329" s="8"/>
    </row>
    <row r="330" spans="1:2" ht="12.75">
      <c r="A330" s="9"/>
      <c r="B330" s="8"/>
    </row>
    <row r="331" spans="1:2" ht="12.75">
      <c r="A331" s="9"/>
      <c r="B331" s="8"/>
    </row>
    <row r="332" spans="1:2" ht="12.75">
      <c r="A332" s="9"/>
      <c r="B332" s="8"/>
    </row>
    <row r="333" spans="1:2" ht="12.75">
      <c r="A333" s="9"/>
      <c r="B333" s="8"/>
    </row>
    <row r="334" spans="1:2" ht="12.75">
      <c r="A334" s="9"/>
      <c r="B334" s="8"/>
    </row>
    <row r="335" spans="1:2" ht="12.75">
      <c r="A335" s="9"/>
      <c r="B335" s="8"/>
    </row>
    <row r="336" spans="1:2" ht="12.75">
      <c r="A336" s="9"/>
      <c r="B336" s="8"/>
    </row>
    <row r="337" spans="1:2" ht="12.75">
      <c r="A337" s="9"/>
      <c r="B337" s="8"/>
    </row>
    <row r="338" spans="1:2" ht="12.75">
      <c r="A338" s="9"/>
      <c r="B338" s="8"/>
    </row>
    <row r="339" spans="1:2" ht="12.75">
      <c r="A339" s="9"/>
      <c r="B339" s="8"/>
    </row>
    <row r="340" spans="1:2" ht="12.75">
      <c r="A340" s="9"/>
      <c r="B340" s="8"/>
    </row>
    <row r="341" spans="1:2" ht="12.75">
      <c r="A341" s="9"/>
      <c r="B341" s="8"/>
    </row>
    <row r="342" spans="1:2" ht="12.75">
      <c r="A342" s="9"/>
      <c r="B342" s="8"/>
    </row>
    <row r="343" spans="1:2" ht="12.75">
      <c r="A343" s="9"/>
      <c r="B343" s="8"/>
    </row>
    <row r="344" spans="1:2" ht="12.75">
      <c r="A344" s="9"/>
      <c r="B344" s="8"/>
    </row>
    <row r="345" spans="1:2" ht="12.75">
      <c r="A345" s="9"/>
      <c r="B345" s="8"/>
    </row>
    <row r="346" spans="1:2" ht="12.75">
      <c r="A346" s="9"/>
      <c r="B346" s="8"/>
    </row>
    <row r="347" spans="1:2" ht="12.75">
      <c r="A347" s="9"/>
      <c r="B347" s="8"/>
    </row>
    <row r="348" spans="1:2" ht="12.75">
      <c r="A348" s="9"/>
      <c r="B348" s="8"/>
    </row>
    <row r="349" spans="1:2" ht="12.75">
      <c r="A349" s="9"/>
      <c r="B349" s="8"/>
    </row>
    <row r="350" spans="1:2" ht="12.75">
      <c r="A350" s="9"/>
      <c r="B350" s="8"/>
    </row>
    <row r="351" spans="1:2" ht="12.75">
      <c r="A351" s="9"/>
      <c r="B351" s="8"/>
    </row>
    <row r="352" spans="1:2" ht="12.75">
      <c r="A352" s="9"/>
      <c r="B352" s="8"/>
    </row>
    <row r="353" spans="1:2" ht="12.75">
      <c r="A353" s="9"/>
      <c r="B353" s="8"/>
    </row>
    <row r="354" spans="1:2" ht="12.75">
      <c r="A354" s="9"/>
      <c r="B354" s="8"/>
    </row>
    <row r="355" spans="1:2" ht="12.75">
      <c r="A355" s="9"/>
      <c r="B355" s="8"/>
    </row>
    <row r="356" spans="1:2" ht="12.75">
      <c r="A356" s="9"/>
      <c r="B356" s="8"/>
    </row>
    <row r="357" spans="1:2" ht="12.75">
      <c r="A357" s="9"/>
      <c r="B357" s="8"/>
    </row>
    <row r="358" spans="1:2" ht="12.75">
      <c r="A358" s="9"/>
      <c r="B358" s="8"/>
    </row>
    <row r="359" spans="1:2" ht="12.75">
      <c r="A359" s="9"/>
      <c r="B359" s="8"/>
    </row>
    <row r="360" spans="1:2" ht="12.75">
      <c r="A360" s="9"/>
      <c r="B360" s="8"/>
    </row>
    <row r="361" spans="1:2" ht="12.75">
      <c r="A361" s="9"/>
      <c r="B361" s="8"/>
    </row>
    <row r="362" spans="1:2" ht="12.75">
      <c r="A362" s="9"/>
      <c r="B362" s="8"/>
    </row>
    <row r="363" spans="1:2" ht="12.75">
      <c r="A363" s="9"/>
      <c r="B363" s="8"/>
    </row>
    <row r="364" spans="1:2" ht="12.75">
      <c r="A364" s="9"/>
      <c r="B364" s="8"/>
    </row>
    <row r="365" spans="1:2" ht="12.75">
      <c r="A365" s="9"/>
      <c r="B365" s="8"/>
    </row>
    <row r="366" spans="1:2" ht="12.75">
      <c r="A366" s="9"/>
      <c r="B366" s="8"/>
    </row>
    <row r="367" spans="1:2" ht="12.75">
      <c r="A367" s="9"/>
      <c r="B367" s="8"/>
    </row>
    <row r="368" spans="1:2" ht="12.75">
      <c r="A368" s="9"/>
      <c r="B368" s="8"/>
    </row>
    <row r="369" spans="1:2" ht="12.75">
      <c r="A369" s="9"/>
      <c r="B369" s="8"/>
    </row>
    <row r="370" spans="1:2" ht="12.75">
      <c r="A370" s="9"/>
      <c r="B370" s="8"/>
    </row>
    <row r="371" spans="1:2" ht="12.75">
      <c r="A371" s="9"/>
      <c r="B371" s="8"/>
    </row>
    <row r="372" spans="1:2" ht="12.75">
      <c r="A372" s="9"/>
      <c r="B372" s="8"/>
    </row>
    <row r="373" spans="1:2" ht="12.75">
      <c r="A373" s="9"/>
      <c r="B373" s="8"/>
    </row>
    <row r="374" spans="1:2" ht="12.75">
      <c r="A374" s="9"/>
      <c r="B374" s="8"/>
    </row>
    <row r="375" spans="1:2" ht="12.75">
      <c r="A375" s="9"/>
      <c r="B375" s="8"/>
    </row>
    <row r="376" spans="1:2" ht="12.75">
      <c r="A376" s="9"/>
      <c r="B376" s="8"/>
    </row>
    <row r="377" spans="1:2" ht="12.75">
      <c r="A377" s="9"/>
      <c r="B377" s="8"/>
    </row>
    <row r="378" spans="1:2" ht="12.75">
      <c r="A378" s="9"/>
      <c r="B378" s="8"/>
    </row>
    <row r="379" spans="1:2" ht="12.75">
      <c r="A379" s="9"/>
      <c r="B379" s="8"/>
    </row>
    <row r="380" spans="1:2" ht="12.75">
      <c r="A380" s="9"/>
      <c r="B380" s="8"/>
    </row>
    <row r="381" spans="1:2" ht="12.75">
      <c r="A381" s="9"/>
      <c r="B381" s="8"/>
    </row>
    <row r="382" spans="1:2" ht="12.75">
      <c r="A382" s="9"/>
      <c r="B382" s="8"/>
    </row>
    <row r="383" spans="1:2" ht="12.75">
      <c r="A383" s="9"/>
      <c r="B383" s="8"/>
    </row>
    <row r="384" spans="1:2" ht="12.75">
      <c r="A384" s="9"/>
      <c r="B384" s="8"/>
    </row>
    <row r="385" spans="1:2" ht="12.75">
      <c r="A385" s="9"/>
      <c r="B385" s="8"/>
    </row>
    <row r="386" spans="1:2" ht="12.75">
      <c r="A386" s="9"/>
      <c r="B386" s="8"/>
    </row>
    <row r="387" spans="1:2" ht="12.75">
      <c r="A387" s="9"/>
      <c r="B387" s="8"/>
    </row>
    <row r="388" spans="1:2" ht="12.75">
      <c r="A388" s="9"/>
      <c r="B388" s="8"/>
    </row>
    <row r="389" spans="1:2" ht="12.75">
      <c r="A389" s="9"/>
      <c r="B389" s="8"/>
    </row>
    <row r="390" spans="1:2" ht="12.75">
      <c r="A390" s="9"/>
      <c r="B390" s="8"/>
    </row>
    <row r="391" spans="1:2" ht="12.75">
      <c r="A391" s="9"/>
      <c r="B391" s="8"/>
    </row>
    <row r="392" spans="1:2" ht="12.75">
      <c r="A392" s="9"/>
      <c r="B392" s="8"/>
    </row>
    <row r="393" spans="1:2" ht="12.75">
      <c r="A393" s="9"/>
      <c r="B393" s="8"/>
    </row>
    <row r="394" spans="1:2" ht="12.75">
      <c r="A394" s="9"/>
      <c r="B394" s="8"/>
    </row>
    <row r="395" spans="1:2" ht="12.75">
      <c r="A395" s="9"/>
      <c r="B395" s="8"/>
    </row>
    <row r="396" spans="1:2" ht="12.75">
      <c r="A396" s="9"/>
      <c r="B396" s="8"/>
    </row>
    <row r="397" spans="1:2" ht="12.75">
      <c r="A397" s="9"/>
      <c r="B397" s="8"/>
    </row>
    <row r="398" spans="1:2" ht="12.75">
      <c r="A398" s="9"/>
      <c r="B398" s="8"/>
    </row>
    <row r="399" spans="1:2" ht="12.75">
      <c r="A399" s="9"/>
      <c r="B399" s="8"/>
    </row>
    <row r="400" spans="1:2" ht="12.75">
      <c r="A400" s="9"/>
      <c r="B400" s="8"/>
    </row>
    <row r="401" spans="1:2" ht="12.75">
      <c r="A401" s="9"/>
      <c r="B401" s="8"/>
    </row>
    <row r="402" spans="1:2" ht="12.75">
      <c r="A402" s="9"/>
      <c r="B402" s="8"/>
    </row>
    <row r="403" spans="1:2" ht="12.75">
      <c r="A403" s="9"/>
      <c r="B403" s="8"/>
    </row>
    <row r="404" spans="1:2" ht="12.75">
      <c r="A404" s="9"/>
      <c r="B404" s="8"/>
    </row>
    <row r="405" spans="1:2" ht="12.75">
      <c r="A405" s="9"/>
      <c r="B405" s="8"/>
    </row>
    <row r="406" spans="1:2" ht="12.75">
      <c r="A406" s="9"/>
      <c r="B406" s="8"/>
    </row>
    <row r="407" spans="1:2" ht="12.75">
      <c r="A407" s="9"/>
      <c r="B407" s="8"/>
    </row>
    <row r="408" spans="1:2" ht="12.75">
      <c r="A408" s="9"/>
      <c r="B408" s="8"/>
    </row>
    <row r="409" spans="1:2" ht="12.75">
      <c r="A409" s="9"/>
      <c r="B409" s="8"/>
    </row>
    <row r="410" spans="1:2" ht="12.75">
      <c r="A410" s="9"/>
      <c r="B410" s="8"/>
    </row>
    <row r="411" spans="1:2" ht="12.75">
      <c r="A411" s="9"/>
      <c r="B411" s="8"/>
    </row>
    <row r="412" spans="1:2" ht="12.75">
      <c r="A412" s="9"/>
      <c r="B412" s="8"/>
    </row>
    <row r="413" spans="1:2" ht="12.75">
      <c r="A413" s="9"/>
      <c r="B413" s="8"/>
    </row>
    <row r="414" spans="1:2" ht="12.75">
      <c r="A414" s="9"/>
      <c r="B414" s="8"/>
    </row>
    <row r="415" spans="1:2" ht="12.75">
      <c r="A415" s="9"/>
      <c r="B415" s="8"/>
    </row>
    <row r="416" spans="1:2" ht="12.75">
      <c r="A416" s="9"/>
      <c r="B416" s="8"/>
    </row>
    <row r="417" spans="1:2" ht="12.75">
      <c r="A417" s="9"/>
      <c r="B417" s="8"/>
    </row>
    <row r="418" spans="1:2" ht="12.75">
      <c r="A418" s="9"/>
      <c r="B418" s="8"/>
    </row>
    <row r="419" spans="1:2" ht="12.75">
      <c r="A419" s="9"/>
      <c r="B419" s="8"/>
    </row>
    <row r="420" spans="1:2" ht="12.75">
      <c r="A420" s="9"/>
      <c r="B420" s="8"/>
    </row>
    <row r="421" spans="1:2" ht="12.75">
      <c r="A421" s="9"/>
      <c r="B421" s="8"/>
    </row>
    <row r="422" spans="1:2" ht="12.75">
      <c r="A422" s="9"/>
      <c r="B422" s="8"/>
    </row>
    <row r="423" spans="1:2" ht="12.75">
      <c r="A423" s="9"/>
      <c r="B423" s="8"/>
    </row>
    <row r="424" spans="1:2" ht="12.75">
      <c r="A424" s="9"/>
      <c r="B424" s="8"/>
    </row>
    <row r="425" spans="1:2" ht="12.75">
      <c r="A425" s="9"/>
      <c r="B425" s="8"/>
    </row>
    <row r="426" spans="1:2" ht="12.75">
      <c r="A426" s="9"/>
      <c r="B426" s="8"/>
    </row>
    <row r="427" spans="1:2" ht="12.75">
      <c r="A427" s="9"/>
      <c r="B427" s="8"/>
    </row>
    <row r="428" spans="1:2" ht="12.75">
      <c r="A428" s="9"/>
      <c r="B428" s="8"/>
    </row>
    <row r="429" spans="1:2" ht="12.75">
      <c r="A429" s="9"/>
      <c r="B429" s="8"/>
    </row>
    <row r="430" spans="1:2" ht="12.75">
      <c r="A430" s="9"/>
      <c r="B430" s="8"/>
    </row>
    <row r="431" spans="1:2" ht="12.75">
      <c r="A431" s="9"/>
      <c r="B431" s="8"/>
    </row>
    <row r="432" spans="1:2" ht="12.75">
      <c r="A432" s="9"/>
      <c r="B432" s="8"/>
    </row>
    <row r="433" spans="1:2" ht="12.75">
      <c r="A433" s="9"/>
      <c r="B433" s="8"/>
    </row>
    <row r="434" spans="1:2" ht="12.75">
      <c r="A434" s="9"/>
      <c r="B434" s="8"/>
    </row>
    <row r="435" spans="1:2" ht="12.75">
      <c r="A435" s="9"/>
      <c r="B435" s="8"/>
    </row>
    <row r="436" spans="1:2" ht="12.75">
      <c r="A436" s="9"/>
      <c r="B436" s="8"/>
    </row>
    <row r="437" spans="1:2" ht="12.75">
      <c r="A437" s="9"/>
      <c r="B437" s="8"/>
    </row>
    <row r="438" spans="1:2" ht="12.75">
      <c r="A438" s="9"/>
      <c r="B438" s="8"/>
    </row>
    <row r="439" spans="1:2" ht="12.75">
      <c r="A439" s="9"/>
      <c r="B439" s="8"/>
    </row>
    <row r="440" spans="1:2" ht="12.75">
      <c r="A440" s="9"/>
      <c r="B440" s="8"/>
    </row>
    <row r="441" spans="1:2" ht="12.75">
      <c r="A441" s="9"/>
      <c r="B441" s="8"/>
    </row>
    <row r="442" spans="1:2" ht="12.75">
      <c r="A442" s="9"/>
      <c r="B442" s="8"/>
    </row>
    <row r="443" spans="1:2" ht="12.75">
      <c r="A443" s="9"/>
      <c r="B443" s="8"/>
    </row>
    <row r="444" spans="1:2" ht="12.75">
      <c r="A444" s="9"/>
      <c r="B444" s="8"/>
    </row>
    <row r="445" spans="1:2" ht="12.75">
      <c r="A445" s="9"/>
      <c r="B445" s="8"/>
    </row>
    <row r="446" spans="1:2" ht="12.75">
      <c r="A446" s="9"/>
      <c r="B446" s="8"/>
    </row>
    <row r="447" spans="1:2" ht="12.75">
      <c r="A447" s="9"/>
      <c r="B447" s="8"/>
    </row>
    <row r="448" spans="1:2" ht="12.75">
      <c r="A448" s="9"/>
      <c r="B448" s="8"/>
    </row>
    <row r="449" spans="1:2" ht="12.75">
      <c r="A449" s="9"/>
      <c r="B449" s="8"/>
    </row>
    <row r="450" spans="1:2" ht="12.75">
      <c r="A450" s="9"/>
      <c r="B450" s="8"/>
    </row>
    <row r="451" spans="1:2" ht="12.75">
      <c r="A451" s="9"/>
      <c r="B451" s="8"/>
    </row>
    <row r="452" spans="1:2" ht="12.75">
      <c r="A452" s="9"/>
      <c r="B452" s="8"/>
    </row>
    <row r="453" spans="1:2" ht="12.75">
      <c r="A453" s="9"/>
      <c r="B453" s="8"/>
    </row>
    <row r="454" spans="1:2" ht="12.75">
      <c r="A454" s="9"/>
      <c r="B454" s="8"/>
    </row>
    <row r="455" spans="1:2" ht="12.75">
      <c r="A455" s="9"/>
      <c r="B455" s="8"/>
    </row>
    <row r="456" spans="1:2" ht="12.75">
      <c r="A456" s="9"/>
      <c r="B456" s="8"/>
    </row>
    <row r="457" spans="1:2" ht="12.75">
      <c r="A457" s="9"/>
      <c r="B457" s="8"/>
    </row>
    <row r="458" spans="1:2" ht="12.75">
      <c r="A458" s="9"/>
      <c r="B458" s="8"/>
    </row>
    <row r="459" spans="1:2" ht="12.75">
      <c r="A459" s="9"/>
      <c r="B459" s="8"/>
    </row>
    <row r="460" spans="1:2" ht="12.75">
      <c r="A460" s="9"/>
      <c r="B460" s="8"/>
    </row>
    <row r="461" spans="1:2" ht="12.75">
      <c r="A461" s="9"/>
      <c r="B461" s="8"/>
    </row>
    <row r="462" spans="1:2" ht="12.75">
      <c r="A462" s="9"/>
      <c r="B462" s="8"/>
    </row>
    <row r="463" spans="1:2" ht="12.75">
      <c r="A463" s="9"/>
      <c r="B463" s="8"/>
    </row>
    <row r="464" spans="1:2" ht="12.75">
      <c r="A464" s="9"/>
      <c r="B464" s="8"/>
    </row>
    <row r="465" spans="1:2" ht="12.75">
      <c r="A465" s="9"/>
      <c r="B465" s="8"/>
    </row>
    <row r="466" spans="1:2" ht="12.75">
      <c r="A466" s="9"/>
      <c r="B466" s="8"/>
    </row>
    <row r="467" spans="1:2" ht="12.75">
      <c r="A467" s="9"/>
      <c r="B467" s="8"/>
    </row>
    <row r="468" spans="1:2" ht="12.75">
      <c r="A468" s="9"/>
      <c r="B468" s="8"/>
    </row>
    <row r="469" spans="1:2" ht="12.75">
      <c r="A469" s="9"/>
      <c r="B469" s="8"/>
    </row>
    <row r="470" spans="1:2" ht="12.75">
      <c r="A470" s="9"/>
      <c r="B470" s="8"/>
    </row>
    <row r="471" spans="1:2" ht="12.75">
      <c r="A471" s="9"/>
      <c r="B471" s="8"/>
    </row>
    <row r="472" spans="1:2" ht="12.75">
      <c r="A472" s="9"/>
      <c r="B472" s="8"/>
    </row>
    <row r="473" spans="1:2" ht="12.75">
      <c r="A473" s="9"/>
      <c r="B473" s="8"/>
    </row>
    <row r="474" spans="1:2" ht="12.75">
      <c r="A474" s="9"/>
      <c r="B474" s="8"/>
    </row>
    <row r="475" spans="1:2" ht="12.75">
      <c r="A475" s="9"/>
      <c r="B475" s="8"/>
    </row>
    <row r="476" spans="1:2" ht="12.75">
      <c r="A476" s="9"/>
      <c r="B476" s="8"/>
    </row>
    <row r="477" spans="1:2" ht="12.75">
      <c r="A477" s="9"/>
      <c r="B477" s="8"/>
    </row>
    <row r="478" spans="1:2" ht="12.75">
      <c r="A478" s="9"/>
      <c r="B478" s="8"/>
    </row>
    <row r="479" spans="1:2" ht="12.75">
      <c r="A479" s="9"/>
      <c r="B479" s="8"/>
    </row>
    <row r="480" spans="1:2" ht="12.75">
      <c r="A480" s="9"/>
      <c r="B480" s="8"/>
    </row>
    <row r="481" spans="1:2" ht="12.75">
      <c r="A481" s="9"/>
      <c r="B481" s="8"/>
    </row>
    <row r="482" spans="1:2" ht="12.75">
      <c r="A482" s="9"/>
      <c r="B482" s="8"/>
    </row>
    <row r="483" spans="1:2" ht="12.75">
      <c r="A483" s="9"/>
      <c r="B483" s="8"/>
    </row>
    <row r="484" spans="1:2" ht="12.75">
      <c r="A484" s="9"/>
      <c r="B484" s="8"/>
    </row>
    <row r="485" spans="1:2" ht="12.75">
      <c r="A485" s="9"/>
      <c r="B485" s="8"/>
    </row>
    <row r="486" spans="1:2" ht="12.75">
      <c r="A486" s="9"/>
      <c r="B486" s="8"/>
    </row>
    <row r="487" spans="1:2" ht="12.75">
      <c r="A487" s="9"/>
      <c r="B487" s="8"/>
    </row>
    <row r="488" spans="1:2" ht="12.75">
      <c r="A488" s="9"/>
      <c r="B488" s="8"/>
    </row>
    <row r="489" spans="1:2" ht="12.75">
      <c r="A489" s="9"/>
      <c r="B489" s="8"/>
    </row>
    <row r="490" spans="1:2" ht="12.75">
      <c r="A490" s="9"/>
      <c r="B490" s="8"/>
    </row>
    <row r="491" spans="1:2" ht="12.75">
      <c r="A491" s="9"/>
      <c r="B491" s="8"/>
    </row>
    <row r="492" spans="1:2" ht="12.75">
      <c r="A492" s="9"/>
      <c r="B492" s="8"/>
    </row>
    <row r="493" spans="1:2" ht="12.75">
      <c r="A493" s="9"/>
      <c r="B493" s="8"/>
    </row>
    <row r="494" spans="1:2" ht="12.75">
      <c r="A494" s="9"/>
      <c r="B494" s="8"/>
    </row>
    <row r="495" spans="1:2" ht="12.75">
      <c r="A495" s="9"/>
      <c r="B495" s="8"/>
    </row>
    <row r="496" spans="1:2" ht="12.75">
      <c r="A496" s="9"/>
      <c r="B496" s="8"/>
    </row>
    <row r="497" spans="1:2" ht="12.75">
      <c r="A497" s="9"/>
      <c r="B497" s="8"/>
    </row>
    <row r="498" spans="1:2" ht="12.75">
      <c r="A498" s="9"/>
      <c r="B498" s="8"/>
    </row>
    <row r="499" spans="1:2" ht="12.75">
      <c r="A499" s="9"/>
      <c r="B499" s="8"/>
    </row>
    <row r="500" spans="1:2" ht="12.75">
      <c r="A500" s="9"/>
      <c r="B500" s="8"/>
    </row>
    <row r="501" spans="1:2" ht="12.75">
      <c r="A501" s="9"/>
      <c r="B501" s="8"/>
    </row>
    <row r="502" spans="1:2" ht="12.75">
      <c r="A502" s="9"/>
      <c r="B502" s="8"/>
    </row>
    <row r="503" spans="1:2" ht="12.75">
      <c r="A503" s="9"/>
      <c r="B503" s="8"/>
    </row>
    <row r="504" spans="1:2" ht="12.75">
      <c r="A504" s="9"/>
      <c r="B504" s="8"/>
    </row>
    <row r="505" spans="1:2" ht="12.75">
      <c r="A505" s="9"/>
      <c r="B505" s="8"/>
    </row>
    <row r="506" spans="1:2" ht="12.75">
      <c r="A506" s="9"/>
      <c r="B506" s="8"/>
    </row>
    <row r="507" spans="1:2" ht="12.75">
      <c r="A507" s="9"/>
      <c r="B507" s="8"/>
    </row>
    <row r="508" spans="1:2" ht="12.75">
      <c r="A508" s="9"/>
      <c r="B508" s="8"/>
    </row>
    <row r="509" spans="1:2" ht="12.75">
      <c r="A509" s="9"/>
      <c r="B509" s="8"/>
    </row>
    <row r="510" spans="1:2" ht="12.75">
      <c r="A510" s="9"/>
      <c r="B510" s="8"/>
    </row>
    <row r="511" spans="1:2" ht="12.75">
      <c r="A511" s="9"/>
      <c r="B511" s="8"/>
    </row>
    <row r="512" spans="1:2" ht="12.75">
      <c r="A512" s="9"/>
      <c r="B512" s="8"/>
    </row>
    <row r="513" spans="1:2" ht="12.75">
      <c r="A513" s="9"/>
      <c r="B513" s="8"/>
    </row>
    <row r="514" spans="1:2" ht="12.75">
      <c r="A514" s="9"/>
      <c r="B514" s="8"/>
    </row>
    <row r="515" spans="1:2" ht="12.75">
      <c r="A515" s="9"/>
      <c r="B515" s="8"/>
    </row>
    <row r="516" spans="1:2" ht="12.75">
      <c r="A516" s="9"/>
      <c r="B516" s="8"/>
    </row>
    <row r="517" spans="1:2" ht="12.75">
      <c r="A517" s="9"/>
      <c r="B517" s="8"/>
    </row>
    <row r="518" spans="1:2" ht="12.75">
      <c r="A518" s="9"/>
      <c r="B518" s="8"/>
    </row>
    <row r="519" spans="1:2" ht="12.75">
      <c r="A519" s="9"/>
      <c r="B519" s="8"/>
    </row>
    <row r="520" spans="1:2" ht="12.75">
      <c r="A520" s="9"/>
      <c r="B520" s="8"/>
    </row>
    <row r="521" spans="1:2" ht="12.75">
      <c r="A521" s="9"/>
      <c r="B521" s="8"/>
    </row>
    <row r="522" spans="1:2" ht="12.75">
      <c r="A522" s="9"/>
      <c r="B522" s="8"/>
    </row>
    <row r="523" spans="1:2" ht="12.75">
      <c r="A523" s="9"/>
      <c r="B523" s="8"/>
    </row>
    <row r="524" spans="1:2" ht="12.75">
      <c r="A524" s="9"/>
      <c r="B524" s="8"/>
    </row>
    <row r="525" spans="1:2" ht="12.75">
      <c r="A525" s="9"/>
      <c r="B525" s="8"/>
    </row>
    <row r="526" spans="1:2" ht="12.75">
      <c r="A526" s="9"/>
      <c r="B526" s="8"/>
    </row>
    <row r="527" spans="1:2" ht="12.75">
      <c r="A527" s="9"/>
      <c r="B527" s="8"/>
    </row>
    <row r="528" spans="1:2" ht="12.75">
      <c r="A528" s="9"/>
      <c r="B528" s="8"/>
    </row>
    <row r="529" spans="1:2" ht="12.75">
      <c r="A529" s="9"/>
      <c r="B529" s="8"/>
    </row>
    <row r="530" spans="1:2" ht="12.75">
      <c r="A530" s="9"/>
      <c r="B530" s="8"/>
    </row>
    <row r="531" spans="1:2" ht="12.75">
      <c r="A531" s="9"/>
      <c r="B531" s="8"/>
    </row>
    <row r="532" spans="1:2" ht="12.75">
      <c r="A532" s="9"/>
      <c r="B532" s="8"/>
    </row>
    <row r="533" spans="1:2" ht="12.75">
      <c r="A533" s="9"/>
      <c r="B533" s="8"/>
    </row>
    <row r="534" spans="1:2" ht="12.75">
      <c r="A534" s="9"/>
      <c r="B534" s="8"/>
    </row>
    <row r="535" spans="1:2" ht="12.75">
      <c r="A535" s="9"/>
      <c r="B535" s="8"/>
    </row>
    <row r="536" spans="1:2" ht="12.75">
      <c r="A536" s="9"/>
      <c r="B536" s="8"/>
    </row>
    <row r="537" spans="1:2" ht="12.75">
      <c r="A537" s="9"/>
      <c r="B537" s="8"/>
    </row>
    <row r="538" spans="1:2" ht="12.75">
      <c r="A538" s="9"/>
      <c r="B538" s="8"/>
    </row>
    <row r="539" spans="1:2" ht="12.75">
      <c r="A539" s="9"/>
      <c r="B539" s="8"/>
    </row>
    <row r="540" spans="1:2" ht="12.75">
      <c r="A540" s="9"/>
      <c r="B540" s="8"/>
    </row>
    <row r="541" spans="1:2" ht="12.75">
      <c r="A541" s="9"/>
      <c r="B541" s="8"/>
    </row>
    <row r="542" spans="1:2" ht="12.75">
      <c r="A542" s="9"/>
      <c r="B542" s="8"/>
    </row>
    <row r="543" spans="1:2" ht="12.75">
      <c r="A543" s="9"/>
      <c r="B543" s="8"/>
    </row>
    <row r="544" spans="1:2" ht="12.75">
      <c r="A544" s="9"/>
      <c r="B544" s="8"/>
    </row>
    <row r="545" spans="1:2" ht="12.75">
      <c r="A545" s="9"/>
      <c r="B545" s="8"/>
    </row>
    <row r="546" spans="1:2" ht="12.75">
      <c r="A546" s="9"/>
      <c r="B546" s="8"/>
    </row>
    <row r="547" spans="1:2" ht="12.75">
      <c r="A547" s="9"/>
      <c r="B547" s="8"/>
    </row>
    <row r="548" spans="1:2" ht="12.75">
      <c r="A548" s="9"/>
      <c r="B548" s="8"/>
    </row>
    <row r="549" spans="1:2" ht="12.75">
      <c r="A549" s="9"/>
      <c r="B549" s="8"/>
    </row>
    <row r="550" spans="1:2" ht="12.75">
      <c r="A550" s="9"/>
      <c r="B550" s="8"/>
    </row>
    <row r="551" spans="1:2" ht="12.75">
      <c r="A551" s="9"/>
      <c r="B551" s="8"/>
    </row>
    <row r="552" spans="1:2" ht="12.75">
      <c r="A552" s="9"/>
      <c r="B552" s="8"/>
    </row>
    <row r="553" spans="1:2" ht="12.75">
      <c r="A553" s="9"/>
      <c r="B553" s="8"/>
    </row>
    <row r="554" spans="1:2" ht="12.75">
      <c r="A554" s="9"/>
      <c r="B554" s="8"/>
    </row>
    <row r="555" spans="1:2" ht="12.75">
      <c r="A555" s="9"/>
      <c r="B555" s="8"/>
    </row>
    <row r="556" spans="1:2" ht="12.75">
      <c r="A556" s="9"/>
      <c r="B556" s="8"/>
    </row>
    <row r="557" spans="1:2" ht="12.75">
      <c r="A557" s="9"/>
      <c r="B557" s="8"/>
    </row>
    <row r="558" spans="1:2" ht="12.75">
      <c r="A558" s="9"/>
      <c r="B558" s="8"/>
    </row>
    <row r="559" spans="1:2" ht="12.75">
      <c r="A559" s="9"/>
      <c r="B559" s="8"/>
    </row>
    <row r="560" spans="1:2" ht="12.75">
      <c r="A560" s="9"/>
      <c r="B560" s="8"/>
    </row>
    <row r="561" spans="1:2" ht="12.75">
      <c r="A561" s="9"/>
      <c r="B561" s="8"/>
    </row>
    <row r="562" spans="1:2" ht="12.75">
      <c r="A562" s="9"/>
      <c r="B562" s="8"/>
    </row>
    <row r="563" spans="1:2" ht="12.75">
      <c r="A563" s="9"/>
      <c r="B563" s="8"/>
    </row>
    <row r="564" spans="1:2" ht="12.75">
      <c r="A564" s="9"/>
      <c r="B564" s="8"/>
    </row>
    <row r="565" spans="1:2" ht="12.75">
      <c r="A565" s="9"/>
      <c r="B565" s="8"/>
    </row>
    <row r="566" spans="1:2" ht="12.75">
      <c r="A566" s="9"/>
      <c r="B566" s="8"/>
    </row>
    <row r="567" spans="1:2" ht="12.75">
      <c r="A567" s="9"/>
      <c r="B567" s="8"/>
    </row>
    <row r="568" spans="1:2" ht="12.75">
      <c r="A568" s="9"/>
      <c r="B568" s="8"/>
    </row>
    <row r="569" spans="1:2" ht="12.75">
      <c r="A569" s="9"/>
      <c r="B569" s="8"/>
    </row>
    <row r="570" spans="1:2" ht="12.75">
      <c r="A570" s="9"/>
      <c r="B570" s="8"/>
    </row>
    <row r="571" spans="1:2" ht="12.75">
      <c r="A571" s="9"/>
      <c r="B571" s="8"/>
    </row>
    <row r="572" spans="1:2" ht="12.75">
      <c r="A572" s="9"/>
      <c r="B572" s="8"/>
    </row>
    <row r="573" spans="1:2" ht="12.75">
      <c r="A573" s="9"/>
      <c r="B573" s="8"/>
    </row>
    <row r="574" spans="1:2" ht="12.75">
      <c r="A574" s="9"/>
      <c r="B574" s="8"/>
    </row>
    <row r="575" spans="1:2" ht="12.75">
      <c r="A575" s="9"/>
      <c r="B575" s="8"/>
    </row>
    <row r="576" spans="1:2" ht="12.75">
      <c r="A576" s="9"/>
      <c r="B576" s="8"/>
    </row>
    <row r="577" spans="1:2" ht="12.75">
      <c r="A577" s="9"/>
      <c r="B577" s="8"/>
    </row>
    <row r="578" spans="1:2" ht="12.75">
      <c r="A578" s="9"/>
      <c r="B578" s="8"/>
    </row>
    <row r="579" spans="1:2" ht="12.75">
      <c r="A579" s="9"/>
      <c r="B579" s="8"/>
    </row>
    <row r="580" spans="1:2" ht="12.75">
      <c r="A580" s="9"/>
      <c r="B580" s="8"/>
    </row>
    <row r="581" spans="1:2" ht="12.75">
      <c r="A581" s="9"/>
      <c r="B581" s="8"/>
    </row>
    <row r="582" spans="1:2" ht="12.75">
      <c r="A582" s="9"/>
      <c r="B582" s="8"/>
    </row>
    <row r="583" spans="1:2" ht="12.75">
      <c r="A583" s="9"/>
      <c r="B583" s="8"/>
    </row>
    <row r="584" spans="1:2" ht="12.75">
      <c r="A584" s="9"/>
      <c r="B584" s="8"/>
    </row>
    <row r="585" spans="1:2" ht="12.75">
      <c r="A585" s="9"/>
      <c r="B585" s="8"/>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sheetData>
  <sheetProtection password="CC0D" sheet="1" objects="1" scenarios="1"/>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T504"/>
  <sheetViews>
    <sheetView showGridLines="0" zoomScalePageLayoutView="0" workbookViewId="0" topLeftCell="A1">
      <selection activeCell="L82" sqref="L82"/>
    </sheetView>
  </sheetViews>
  <sheetFormatPr defaultColWidth="9.140625" defaultRowHeight="12.75"/>
  <cols>
    <col min="1" max="1" width="6.421875" style="99" customWidth="1"/>
    <col min="2" max="2" width="6.00390625" style="99" customWidth="1"/>
    <col min="3" max="3" width="7.7109375" style="99" customWidth="1"/>
    <col min="4" max="4" width="8.28125" style="99" customWidth="1"/>
    <col min="5" max="5" width="9.8515625" style="99" customWidth="1"/>
    <col min="6" max="6" width="3.57421875" style="99" customWidth="1"/>
    <col min="7" max="7" width="8.28125" style="99" customWidth="1"/>
    <col min="8" max="8" width="5.140625" style="99" customWidth="1"/>
    <col min="9" max="9" width="2.421875" style="99" customWidth="1"/>
    <col min="10" max="10" width="10.7109375" style="99" customWidth="1"/>
    <col min="11" max="11" width="2.28125" style="99" customWidth="1"/>
    <col min="12" max="12" width="10.7109375" style="99" customWidth="1"/>
    <col min="13" max="13" width="2.00390625" style="99" customWidth="1"/>
    <col min="14" max="14" width="13.00390625" style="99" customWidth="1"/>
    <col min="15" max="21" width="6.7109375" style="99" customWidth="1"/>
    <col min="22" max="16384" width="9.140625" style="99" customWidth="1"/>
  </cols>
  <sheetData>
    <row r="1" ht="17.25">
      <c r="A1" s="98" t="str">
        <f>title1</f>
        <v>Retirement  Management  Services, LLC</v>
      </c>
    </row>
    <row r="2" ht="17.25">
      <c r="A2" s="100" t="str">
        <f>Title2</f>
        <v>Retirement  Savings  Calculator,  Version  24.1   (Release 12-11-2023)</v>
      </c>
    </row>
    <row r="3" ht="6.75" customHeight="1"/>
    <row r="4" spans="1:12" ht="17.25">
      <c r="A4" s="101" t="s">
        <v>87</v>
      </c>
      <c r="C4" s="102"/>
      <c r="D4" s="102"/>
      <c r="E4" s="102"/>
      <c r="F4" s="102"/>
      <c r="G4" s="102"/>
      <c r="J4" s="103"/>
      <c r="K4" s="104" t="s">
        <v>88</v>
      </c>
      <c r="L4" s="105">
        <f ca="1">TODAY()</f>
        <v>45271</v>
      </c>
    </row>
    <row r="5" spans="1:12" ht="9.75" customHeight="1">
      <c r="A5" s="106"/>
      <c r="C5" s="102"/>
      <c r="D5" s="102"/>
      <c r="E5" s="102"/>
      <c r="F5" s="102"/>
      <c r="G5" s="102"/>
      <c r="K5" s="330" t="str">
        <f>expirationwarning</f>
        <v> </v>
      </c>
      <c r="L5"/>
    </row>
    <row r="6" spans="1:14" ht="10.5" customHeight="1">
      <c r="A6" s="107" t="s">
        <v>89</v>
      </c>
      <c r="B6" s="107"/>
      <c r="C6" s="108"/>
      <c r="D6" s="109"/>
      <c r="E6" s="109"/>
      <c r="F6" s="109"/>
      <c r="G6" s="109"/>
      <c r="H6" s="107"/>
      <c r="I6" s="107"/>
      <c r="J6" s="107"/>
      <c r="K6" s="107"/>
      <c r="L6"/>
      <c r="M6" s="107"/>
      <c r="N6" s="107"/>
    </row>
    <row r="7" spans="1:14" ht="7.5" customHeight="1">
      <c r="A7" s="107"/>
      <c r="B7" s="107"/>
      <c r="C7" s="108"/>
      <c r="D7" s="109"/>
      <c r="E7" s="109"/>
      <c r="F7" s="109"/>
      <c r="G7" s="109"/>
      <c r="H7" s="107"/>
      <c r="I7" s="107"/>
      <c r="J7" s="107"/>
      <c r="K7" s="107"/>
      <c r="L7" s="107"/>
      <c r="M7" s="107"/>
      <c r="N7" s="107"/>
    </row>
    <row r="8" spans="1:14" ht="10.5" customHeight="1">
      <c r="A8" s="107" t="s">
        <v>90</v>
      </c>
      <c r="B8" s="107"/>
      <c r="C8" s="110" t="s">
        <v>321</v>
      </c>
      <c r="D8" s="109"/>
      <c r="E8" s="109"/>
      <c r="F8" s="109"/>
      <c r="G8" s="109"/>
      <c r="H8" s="107"/>
      <c r="I8" s="107"/>
      <c r="J8" s="107"/>
      <c r="K8" s="107"/>
      <c r="L8" s="107"/>
      <c r="M8" s="107"/>
      <c r="N8" s="107"/>
    </row>
    <row r="9" spans="1:14" ht="10.5" customHeight="1">
      <c r="A9" s="107"/>
      <c r="B9" s="111"/>
      <c r="C9" s="107" t="s">
        <v>322</v>
      </c>
      <c r="D9" s="109"/>
      <c r="E9" s="109"/>
      <c r="F9" s="109"/>
      <c r="G9" s="109"/>
      <c r="H9" s="107"/>
      <c r="I9" s="107"/>
      <c r="J9" s="107"/>
      <c r="K9" s="107"/>
      <c r="L9" s="107"/>
      <c r="M9" s="107"/>
      <c r="N9" s="107"/>
    </row>
    <row r="10" spans="1:14" ht="10.5" customHeight="1">
      <c r="A10" s="107"/>
      <c r="B10" s="111"/>
      <c r="C10" s="107" t="s">
        <v>91</v>
      </c>
      <c r="D10" s="109"/>
      <c r="E10" s="109"/>
      <c r="F10" s="109"/>
      <c r="G10" s="109"/>
      <c r="H10" s="107"/>
      <c r="I10" s="107"/>
      <c r="J10" s="107"/>
      <c r="K10" s="107"/>
      <c r="L10" s="107"/>
      <c r="M10" s="107"/>
      <c r="N10" s="107"/>
    </row>
    <row r="11" spans="1:14" ht="10.5" customHeight="1">
      <c r="A11" s="107" t="s">
        <v>92</v>
      </c>
      <c r="B11" s="111"/>
      <c r="C11" s="107"/>
      <c r="D11" s="109"/>
      <c r="E11" s="109"/>
      <c r="F11" s="109"/>
      <c r="G11" s="109"/>
      <c r="H11" s="107"/>
      <c r="I11" s="107"/>
      <c r="J11" s="107"/>
      <c r="K11" s="107"/>
      <c r="L11" s="107"/>
      <c r="M11" s="107"/>
      <c r="N11" s="107"/>
    </row>
    <row r="12" spans="1:14" ht="10.5" customHeight="1">
      <c r="A12" s="107" t="s">
        <v>93</v>
      </c>
      <c r="B12" s="111"/>
      <c r="C12" s="107" t="s">
        <v>94</v>
      </c>
      <c r="D12" s="109"/>
      <c r="E12" s="109"/>
      <c r="F12" s="109"/>
      <c r="G12" s="109"/>
      <c r="H12" s="107"/>
      <c r="I12" s="107"/>
      <c r="J12" s="107"/>
      <c r="K12" s="107"/>
      <c r="L12" s="107"/>
      <c r="M12" s="107"/>
      <c r="N12" s="107"/>
    </row>
    <row r="13" spans="1:14" ht="10.5" customHeight="1">
      <c r="A13" s="107"/>
      <c r="B13" s="111"/>
      <c r="C13" s="107"/>
      <c r="D13" s="109"/>
      <c r="E13" s="109"/>
      <c r="F13" s="109"/>
      <c r="G13" s="109"/>
      <c r="H13" s="107"/>
      <c r="I13" s="107"/>
      <c r="J13" s="107"/>
      <c r="K13" s="107"/>
      <c r="L13" s="107"/>
      <c r="M13" s="107"/>
      <c r="N13" s="107"/>
    </row>
    <row r="14" spans="1:14" ht="10.5" customHeight="1">
      <c r="A14" s="112" t="s">
        <v>95</v>
      </c>
      <c r="B14" s="111"/>
      <c r="C14" s="107"/>
      <c r="D14" s="109"/>
      <c r="E14" s="109"/>
      <c r="F14" s="109"/>
      <c r="G14" s="109"/>
      <c r="H14" s="107"/>
      <c r="I14" s="107"/>
      <c r="J14" s="107"/>
      <c r="K14" s="107"/>
      <c r="L14" s="107"/>
      <c r="M14" s="107"/>
      <c r="N14" s="107"/>
    </row>
    <row r="15" spans="1:14" ht="10.5" customHeight="1">
      <c r="A15" s="107"/>
      <c r="B15" s="111"/>
      <c r="C15" s="107"/>
      <c r="D15" s="109"/>
      <c r="E15" s="109"/>
      <c r="F15" s="109"/>
      <c r="G15" s="109"/>
      <c r="H15" s="107"/>
      <c r="I15" s="107"/>
      <c r="J15" s="107"/>
      <c r="K15" s="107"/>
      <c r="L15" s="107"/>
      <c r="M15" s="107"/>
      <c r="N15" s="107"/>
    </row>
    <row r="16" spans="1:14" ht="10.5" customHeight="1">
      <c r="A16" s="113" t="s">
        <v>96</v>
      </c>
      <c r="B16" s="107"/>
      <c r="C16" s="109"/>
      <c r="D16" s="109"/>
      <c r="E16" s="109"/>
      <c r="F16" s="109"/>
      <c r="G16" s="109"/>
      <c r="H16" s="107"/>
      <c r="I16" s="107"/>
      <c r="J16" s="107"/>
      <c r="K16" s="107"/>
      <c r="L16" s="107"/>
      <c r="M16" s="107"/>
      <c r="N16" s="107"/>
    </row>
    <row r="17" spans="1:14" ht="10.5" customHeight="1">
      <c r="A17" s="113" t="s">
        <v>97</v>
      </c>
      <c r="B17" s="113" t="s">
        <v>98</v>
      </c>
      <c r="C17" s="109"/>
      <c r="D17" s="109"/>
      <c r="E17" s="109"/>
      <c r="F17" s="109"/>
      <c r="G17" s="109"/>
      <c r="H17" s="107"/>
      <c r="I17" s="107"/>
      <c r="J17" s="107"/>
      <c r="K17" s="107"/>
      <c r="L17" s="107"/>
      <c r="M17" s="107"/>
      <c r="N17" s="107"/>
    </row>
    <row r="18" spans="1:14" ht="10.5" customHeight="1">
      <c r="A18" s="114" t="s">
        <v>99</v>
      </c>
      <c r="B18" s="114" t="s">
        <v>99</v>
      </c>
      <c r="C18" s="109"/>
      <c r="D18" s="109"/>
      <c r="E18" s="109"/>
      <c r="F18" s="109"/>
      <c r="G18" s="109"/>
      <c r="H18" s="107"/>
      <c r="I18" s="107"/>
      <c r="J18" s="107"/>
      <c r="K18" s="107"/>
      <c r="L18" s="107"/>
      <c r="M18" s="107"/>
      <c r="N18" s="107"/>
    </row>
    <row r="19" spans="1:14" ht="7.5" customHeight="1">
      <c r="A19" s="114"/>
      <c r="B19" s="107"/>
      <c r="C19" s="109"/>
      <c r="D19" s="109"/>
      <c r="E19" s="109"/>
      <c r="F19" s="109"/>
      <c r="G19" s="109"/>
      <c r="H19" s="107"/>
      <c r="I19" s="107"/>
      <c r="J19" s="107"/>
      <c r="K19" s="107"/>
      <c r="L19" s="107"/>
      <c r="M19" s="107"/>
      <c r="N19" s="107"/>
    </row>
    <row r="20" spans="1:14" ht="10.5" customHeight="1">
      <c r="A20" s="113">
        <v>4.01</v>
      </c>
      <c r="B20" s="321" t="s">
        <v>100</v>
      </c>
      <c r="C20" s="322"/>
      <c r="D20" s="322"/>
      <c r="E20" s="322"/>
      <c r="F20" s="322"/>
      <c r="G20" s="322"/>
      <c r="H20" s="323"/>
      <c r="I20" s="323"/>
      <c r="J20" s="323"/>
      <c r="K20" s="323"/>
      <c r="L20" s="323"/>
      <c r="M20" s="324"/>
      <c r="N20" s="107"/>
    </row>
    <row r="21" spans="1:14" ht="10.5" customHeight="1">
      <c r="A21" s="113"/>
      <c r="B21" s="325" t="s">
        <v>101</v>
      </c>
      <c r="C21" s="326"/>
      <c r="D21" s="326"/>
      <c r="E21" s="326"/>
      <c r="F21" s="326"/>
      <c r="G21" s="326"/>
      <c r="H21" s="327"/>
      <c r="I21" s="327"/>
      <c r="J21" s="327"/>
      <c r="K21" s="327"/>
      <c r="L21" s="327"/>
      <c r="M21" s="328"/>
      <c r="N21" s="107"/>
    </row>
    <row r="22" spans="1:14" ht="4.5" customHeight="1" thickBot="1">
      <c r="A22" s="113"/>
      <c r="B22" s="115"/>
      <c r="C22" s="115"/>
      <c r="D22" s="115"/>
      <c r="E22" s="115"/>
      <c r="F22" s="115"/>
      <c r="G22" s="115"/>
      <c r="H22" s="115"/>
      <c r="I22" s="115"/>
      <c r="J22" s="115"/>
      <c r="K22" s="115"/>
      <c r="L22" s="115"/>
      <c r="M22" s="115"/>
      <c r="N22" s="107"/>
    </row>
    <row r="23" spans="1:14" ht="10.5" customHeight="1">
      <c r="A23" s="113"/>
      <c r="B23" s="110"/>
      <c r="C23" s="110"/>
      <c r="D23" s="110"/>
      <c r="E23" s="110"/>
      <c r="F23" s="110"/>
      <c r="G23" s="110"/>
      <c r="H23" s="110"/>
      <c r="I23" s="110"/>
      <c r="J23" s="116" t="s">
        <v>102</v>
      </c>
      <c r="K23" s="305"/>
      <c r="L23" s="306" t="s">
        <v>103</v>
      </c>
      <c r="M23" s="307"/>
      <c r="N23" s="107"/>
    </row>
    <row r="24" spans="1:14" ht="10.5" customHeight="1" thickBot="1">
      <c r="A24" s="113"/>
      <c r="B24" s="113">
        <v>1</v>
      </c>
      <c r="C24" s="107"/>
      <c r="D24" s="107"/>
      <c r="E24" s="107"/>
      <c r="F24" s="107"/>
      <c r="G24" s="107"/>
      <c r="H24" s="117" t="s">
        <v>104</v>
      </c>
      <c r="I24" s="118"/>
      <c r="J24" s="113">
        <v>2</v>
      </c>
      <c r="K24" s="308"/>
      <c r="L24" s="314">
        <f>J24</f>
        <v>2</v>
      </c>
      <c r="M24" s="309"/>
      <c r="N24" s="107"/>
    </row>
    <row r="25" spans="1:14" ht="4.5" customHeight="1" thickBot="1">
      <c r="A25" s="113"/>
      <c r="B25" s="119"/>
      <c r="C25" s="115"/>
      <c r="D25" s="115"/>
      <c r="E25" s="115"/>
      <c r="F25" s="115"/>
      <c r="G25" s="115"/>
      <c r="H25" s="120"/>
      <c r="I25" s="120"/>
      <c r="J25" s="119"/>
      <c r="K25" s="115"/>
      <c r="L25" s="121"/>
      <c r="M25" s="115"/>
      <c r="N25" s="107"/>
    </row>
    <row r="26" spans="1:14" ht="10.5" customHeight="1">
      <c r="A26" s="113"/>
      <c r="B26" s="122"/>
      <c r="C26" s="110"/>
      <c r="D26" s="110"/>
      <c r="E26" s="110"/>
      <c r="F26" s="110"/>
      <c r="G26" s="110"/>
      <c r="H26" s="123"/>
      <c r="I26" s="123"/>
      <c r="J26" s="116" t="s">
        <v>102</v>
      </c>
      <c r="K26" s="305"/>
      <c r="L26" s="306" t="s">
        <v>103</v>
      </c>
      <c r="M26" s="307"/>
      <c r="N26" s="107"/>
    </row>
    <row r="27" spans="1:14" ht="10.5" customHeight="1" thickBot="1">
      <c r="A27" s="113"/>
      <c r="B27" s="113">
        <f>B24+1</f>
        <v>2</v>
      </c>
      <c r="C27" s="107"/>
      <c r="D27" s="107"/>
      <c r="E27" s="107"/>
      <c r="F27" s="107"/>
      <c r="G27" s="107"/>
      <c r="H27" s="118" t="s">
        <v>105</v>
      </c>
      <c r="I27" s="118"/>
      <c r="J27" s="124">
        <v>25000</v>
      </c>
      <c r="K27" s="310"/>
      <c r="L27" s="315">
        <f>J27</f>
        <v>25000</v>
      </c>
      <c r="M27" s="309"/>
      <c r="N27" s="107"/>
    </row>
    <row r="28" spans="1:14" ht="4.5" customHeight="1" thickBot="1">
      <c r="A28" s="113"/>
      <c r="B28" s="119"/>
      <c r="C28" s="115"/>
      <c r="D28" s="115"/>
      <c r="E28" s="115"/>
      <c r="F28" s="115"/>
      <c r="G28" s="115"/>
      <c r="H28" s="120"/>
      <c r="I28" s="120"/>
      <c r="J28" s="126"/>
      <c r="K28" s="127"/>
      <c r="L28" s="128"/>
      <c r="M28" s="115"/>
      <c r="N28" s="107"/>
    </row>
    <row r="29" spans="1:14" ht="10.5" customHeight="1">
      <c r="A29" s="113"/>
      <c r="B29" s="122"/>
      <c r="C29" s="110"/>
      <c r="D29" s="110"/>
      <c r="E29" s="110"/>
      <c r="F29" s="110"/>
      <c r="G29" s="110"/>
      <c r="H29" s="129"/>
      <c r="I29" s="129"/>
      <c r="J29" s="116" t="s">
        <v>102</v>
      </c>
      <c r="K29" s="305"/>
      <c r="L29" s="306" t="s">
        <v>103</v>
      </c>
      <c r="M29" s="307"/>
      <c r="N29" s="107"/>
    </row>
    <row r="30" spans="1:14" ht="10.5" customHeight="1" thickBot="1">
      <c r="A30" s="113"/>
      <c r="B30" s="113">
        <f>+B27+1</f>
        <v>3</v>
      </c>
      <c r="C30" s="107"/>
      <c r="D30" s="107"/>
      <c r="E30" s="107"/>
      <c r="F30" s="107"/>
      <c r="G30" s="107"/>
      <c r="H30" s="118" t="s">
        <v>106</v>
      </c>
      <c r="I30" s="118"/>
      <c r="J30" s="124">
        <v>15000</v>
      </c>
      <c r="K30" s="310"/>
      <c r="L30" s="315">
        <f>J30</f>
        <v>15000</v>
      </c>
      <c r="M30" s="309"/>
      <c r="N30" s="107"/>
    </row>
    <row r="31" spans="1:14" ht="4.5" customHeight="1">
      <c r="A31" s="113"/>
      <c r="B31" s="119"/>
      <c r="C31" s="115"/>
      <c r="D31" s="115"/>
      <c r="E31" s="115"/>
      <c r="F31" s="115"/>
      <c r="G31" s="115"/>
      <c r="H31" s="120"/>
      <c r="I31" s="120"/>
      <c r="J31" s="130"/>
      <c r="K31" s="115"/>
      <c r="L31" s="131"/>
      <c r="M31" s="115"/>
      <c r="N31" s="107"/>
    </row>
    <row r="32" spans="1:14" ht="4.5" customHeight="1">
      <c r="A32" s="113"/>
      <c r="B32" s="122"/>
      <c r="C32" s="110"/>
      <c r="D32" s="110"/>
      <c r="E32" s="110"/>
      <c r="F32" s="110"/>
      <c r="G32" s="110"/>
      <c r="H32" s="123"/>
      <c r="I32" s="123"/>
      <c r="K32" s="108"/>
      <c r="M32" s="107"/>
      <c r="N32" s="107"/>
    </row>
    <row r="33" spans="1:14" ht="10.5" customHeight="1">
      <c r="A33" s="113"/>
      <c r="B33" s="113">
        <f>B30+1</f>
        <v>4</v>
      </c>
      <c r="C33" s="107"/>
      <c r="D33" s="107"/>
      <c r="E33" s="107"/>
      <c r="F33" s="107"/>
      <c r="G33" s="107"/>
      <c r="H33" s="118" t="s">
        <v>107</v>
      </c>
      <c r="I33" s="118"/>
      <c r="K33" s="107"/>
      <c r="M33" s="107"/>
      <c r="N33" s="107"/>
    </row>
    <row r="34" spans="1:14" ht="10.5" customHeight="1" thickBot="1">
      <c r="A34" s="113"/>
      <c r="B34" s="113"/>
      <c r="C34" s="107"/>
      <c r="D34" s="107"/>
      <c r="E34" s="107"/>
      <c r="F34" s="107"/>
      <c r="G34" s="107"/>
      <c r="H34" s="118" t="s">
        <v>108</v>
      </c>
      <c r="I34" s="118"/>
      <c r="J34" s="107"/>
      <c r="K34" s="107"/>
      <c r="L34" s="132"/>
      <c r="M34" s="107"/>
      <c r="N34" s="107"/>
    </row>
    <row r="35" spans="1:14" ht="10.5" customHeight="1">
      <c r="A35" s="113"/>
      <c r="B35" s="113"/>
      <c r="C35" s="107"/>
      <c r="D35" s="107"/>
      <c r="E35" s="107"/>
      <c r="F35" s="107"/>
      <c r="G35" s="107"/>
      <c r="H35" s="118" t="s">
        <v>109</v>
      </c>
      <c r="I35" s="118"/>
      <c r="J35" s="116" t="s">
        <v>102</v>
      </c>
      <c r="K35" s="311"/>
      <c r="L35" s="306" t="s">
        <v>103</v>
      </c>
      <c r="M35" s="307"/>
      <c r="N35" s="107"/>
    </row>
    <row r="36" spans="1:14" ht="10.5" customHeight="1" thickBot="1">
      <c r="A36" s="113"/>
      <c r="B36" s="113"/>
      <c r="C36" s="107"/>
      <c r="D36" s="107"/>
      <c r="E36" s="107"/>
      <c r="F36" s="107"/>
      <c r="G36" s="107"/>
      <c r="H36" s="118" t="s">
        <v>110</v>
      </c>
      <c r="I36" s="118"/>
      <c r="J36" s="133">
        <v>0.85</v>
      </c>
      <c r="K36" s="308"/>
      <c r="L36" s="316">
        <f>J36</f>
        <v>0.85</v>
      </c>
      <c r="M36" s="309"/>
      <c r="N36" s="107"/>
    </row>
    <row r="37" spans="1:14" ht="4.5" customHeight="1" thickBot="1">
      <c r="A37" s="113"/>
      <c r="B37" s="119"/>
      <c r="C37" s="115"/>
      <c r="D37" s="115"/>
      <c r="E37" s="115"/>
      <c r="F37" s="115"/>
      <c r="G37" s="115"/>
      <c r="H37" s="120"/>
      <c r="I37" s="120"/>
      <c r="J37" s="130"/>
      <c r="K37" s="115"/>
      <c r="L37" s="131"/>
      <c r="M37" s="115"/>
      <c r="N37" s="107"/>
    </row>
    <row r="38" spans="1:14" ht="10.5" customHeight="1">
      <c r="A38" s="113"/>
      <c r="B38" s="122"/>
      <c r="C38" s="110"/>
      <c r="D38" s="110"/>
      <c r="E38" s="110"/>
      <c r="F38" s="110"/>
      <c r="G38" s="110"/>
      <c r="H38" s="123"/>
      <c r="I38" s="123"/>
      <c r="J38" s="116" t="s">
        <v>102</v>
      </c>
      <c r="K38" s="305"/>
      <c r="L38" s="306" t="s">
        <v>103</v>
      </c>
      <c r="M38" s="307"/>
      <c r="N38" s="107"/>
    </row>
    <row r="39" spans="1:14" ht="10.5" customHeight="1" thickBot="1">
      <c r="A39" s="113"/>
      <c r="B39" s="113">
        <f>B33+1</f>
        <v>5</v>
      </c>
      <c r="C39" s="107"/>
      <c r="D39" s="107"/>
      <c r="E39" s="107"/>
      <c r="F39" s="107"/>
      <c r="G39" s="107"/>
      <c r="H39" s="118" t="s">
        <v>111</v>
      </c>
      <c r="I39" s="118"/>
      <c r="J39" s="134">
        <v>35</v>
      </c>
      <c r="K39" s="308"/>
      <c r="L39" s="317">
        <f>J39</f>
        <v>35</v>
      </c>
      <c r="M39" s="309"/>
      <c r="N39" s="107"/>
    </row>
    <row r="40" spans="1:14" ht="4.5" customHeight="1" thickBot="1">
      <c r="A40" s="113"/>
      <c r="B40" s="119"/>
      <c r="C40" s="115"/>
      <c r="D40" s="115"/>
      <c r="E40" s="115"/>
      <c r="F40" s="115"/>
      <c r="G40" s="115"/>
      <c r="H40" s="120"/>
      <c r="I40" s="120"/>
      <c r="J40" s="119"/>
      <c r="K40" s="115"/>
      <c r="L40" s="131"/>
      <c r="M40" s="115"/>
      <c r="N40" s="107"/>
    </row>
    <row r="41" spans="1:14" ht="10.5" customHeight="1">
      <c r="A41" s="113"/>
      <c r="B41" s="122"/>
      <c r="C41" s="110"/>
      <c r="D41" s="110"/>
      <c r="E41" s="110"/>
      <c r="F41" s="110"/>
      <c r="G41" s="110"/>
      <c r="H41" s="123"/>
      <c r="I41" s="123"/>
      <c r="J41" s="116" t="s">
        <v>102</v>
      </c>
      <c r="K41" s="305"/>
      <c r="L41" s="306" t="s">
        <v>103</v>
      </c>
      <c r="M41" s="307"/>
      <c r="N41" s="107"/>
    </row>
    <row r="42" spans="1:14" ht="10.5" customHeight="1" thickBot="1">
      <c r="A42" s="113"/>
      <c r="B42" s="113">
        <f>B39+1</f>
        <v>6</v>
      </c>
      <c r="C42" s="107"/>
      <c r="D42" s="107"/>
      <c r="E42" s="107"/>
      <c r="F42" s="107"/>
      <c r="G42" s="107"/>
      <c r="H42" s="118" t="s">
        <v>112</v>
      </c>
      <c r="I42" s="118"/>
      <c r="J42" s="113">
        <v>65</v>
      </c>
      <c r="K42" s="308"/>
      <c r="L42" s="315">
        <f>J42</f>
        <v>65</v>
      </c>
      <c r="M42" s="309"/>
      <c r="N42" s="107"/>
    </row>
    <row r="43" spans="1:14" ht="4.5" customHeight="1">
      <c r="A43" s="113"/>
      <c r="B43" s="119"/>
      <c r="C43" s="115"/>
      <c r="D43" s="115"/>
      <c r="E43" s="115"/>
      <c r="F43" s="115"/>
      <c r="G43" s="115"/>
      <c r="H43" s="120"/>
      <c r="I43" s="120"/>
      <c r="J43" s="119"/>
      <c r="K43" s="115"/>
      <c r="L43" s="131"/>
      <c r="M43" s="115"/>
      <c r="N43" s="107"/>
    </row>
    <row r="44" spans="1:14" ht="4.5" customHeight="1" thickBot="1">
      <c r="A44" s="113"/>
      <c r="B44" s="122"/>
      <c r="C44" s="110"/>
      <c r="D44" s="110"/>
      <c r="E44" s="110"/>
      <c r="F44" s="110"/>
      <c r="G44" s="110"/>
      <c r="H44" s="123"/>
      <c r="I44" s="123"/>
      <c r="K44" s="108"/>
      <c r="M44" s="107"/>
      <c r="N44" s="107"/>
    </row>
    <row r="45" spans="1:14" ht="10.5" customHeight="1">
      <c r="A45" s="113"/>
      <c r="B45" s="113">
        <f>B42+1</f>
        <v>7</v>
      </c>
      <c r="C45" s="107"/>
      <c r="D45" s="107"/>
      <c r="E45" s="107"/>
      <c r="F45" s="107"/>
      <c r="G45" s="107"/>
      <c r="H45" s="118" t="s">
        <v>113</v>
      </c>
      <c r="I45" s="118"/>
      <c r="J45" s="116" t="s">
        <v>102</v>
      </c>
      <c r="K45" s="311"/>
      <c r="L45" s="306" t="s">
        <v>103</v>
      </c>
      <c r="M45" s="307"/>
      <c r="N45" s="107"/>
    </row>
    <row r="46" spans="1:14" ht="10.5" customHeight="1" thickBot="1">
      <c r="A46" s="113"/>
      <c r="B46" s="113"/>
      <c r="C46" s="107"/>
      <c r="D46" s="107"/>
      <c r="E46" s="107"/>
      <c r="F46" s="118" t="s">
        <v>114</v>
      </c>
      <c r="G46" s="329">
        <f>recyrsdurret</f>
        <v>25</v>
      </c>
      <c r="H46" s="135" t="s">
        <v>115</v>
      </c>
      <c r="I46" s="134"/>
      <c r="J46" s="134">
        <v>25</v>
      </c>
      <c r="K46" s="308"/>
      <c r="L46" s="315">
        <f>J46</f>
        <v>25</v>
      </c>
      <c r="M46" s="309"/>
      <c r="N46" s="107"/>
    </row>
    <row r="47" spans="1:14" ht="4.5" customHeight="1">
      <c r="A47" s="113"/>
      <c r="B47" s="119"/>
      <c r="C47" s="115"/>
      <c r="D47" s="115"/>
      <c r="E47" s="115"/>
      <c r="F47" s="115"/>
      <c r="G47" s="115"/>
      <c r="H47" s="120"/>
      <c r="I47" s="120"/>
      <c r="J47" s="119"/>
      <c r="K47" s="115"/>
      <c r="L47" s="131"/>
      <c r="M47" s="115"/>
      <c r="N47" s="107"/>
    </row>
    <row r="48" spans="1:14" ht="4.5" customHeight="1" thickBot="1">
      <c r="A48" s="113"/>
      <c r="B48" s="122"/>
      <c r="C48" s="110"/>
      <c r="D48" s="110"/>
      <c r="E48" s="110"/>
      <c r="F48" s="110"/>
      <c r="G48" s="110"/>
      <c r="H48" s="123"/>
      <c r="I48" s="123"/>
      <c r="M48" s="107"/>
      <c r="N48" s="107"/>
    </row>
    <row r="49" spans="1:14" ht="10.5" customHeight="1">
      <c r="A49" s="113"/>
      <c r="B49" s="113">
        <f>B45+1</f>
        <v>8</v>
      </c>
      <c r="C49" s="107"/>
      <c r="D49" s="107"/>
      <c r="E49" s="107"/>
      <c r="F49" s="107"/>
      <c r="G49" s="107"/>
      <c r="H49" s="136" t="s">
        <v>116</v>
      </c>
      <c r="I49" s="118"/>
      <c r="J49" s="116" t="s">
        <v>102</v>
      </c>
      <c r="K49" s="305"/>
      <c r="L49" s="312" t="s">
        <v>103</v>
      </c>
      <c r="M49" s="307"/>
      <c r="N49" s="107"/>
    </row>
    <row r="50" spans="1:14" ht="10.5" customHeight="1" thickBot="1">
      <c r="A50" s="113"/>
      <c r="B50" s="107"/>
      <c r="C50" s="107"/>
      <c r="D50" s="107"/>
      <c r="E50" s="107"/>
      <c r="F50" s="107"/>
      <c r="G50" s="107"/>
      <c r="H50" s="118" t="s">
        <v>117</v>
      </c>
      <c r="I50" s="118"/>
      <c r="J50" s="137">
        <v>30000</v>
      </c>
      <c r="K50" s="308"/>
      <c r="L50" s="318">
        <f>J50</f>
        <v>30000</v>
      </c>
      <c r="M50" s="309"/>
      <c r="N50" s="107"/>
    </row>
    <row r="51" spans="1:14" ht="4.5" customHeight="1">
      <c r="A51" s="113"/>
      <c r="B51" s="119"/>
      <c r="C51" s="115"/>
      <c r="D51" s="115"/>
      <c r="E51" s="115"/>
      <c r="F51" s="115"/>
      <c r="G51" s="120"/>
      <c r="H51" s="115"/>
      <c r="I51" s="115"/>
      <c r="J51" s="119"/>
      <c r="K51" s="115"/>
      <c r="L51" s="131"/>
      <c r="M51" s="115"/>
      <c r="N51" s="107"/>
    </row>
    <row r="52" spans="1:14" ht="4.5" customHeight="1">
      <c r="A52" s="113"/>
      <c r="B52" s="122"/>
      <c r="C52" s="110"/>
      <c r="D52" s="110"/>
      <c r="E52" s="110"/>
      <c r="F52" s="110"/>
      <c r="G52" s="123"/>
      <c r="H52" s="110"/>
      <c r="I52" s="110"/>
      <c r="M52" s="107"/>
      <c r="N52" s="107"/>
    </row>
    <row r="53" spans="1:14" ht="10.5" customHeight="1">
      <c r="A53" s="113"/>
      <c r="B53" s="113">
        <f>B49+1</f>
        <v>9</v>
      </c>
      <c r="C53" s="107"/>
      <c r="D53" s="107"/>
      <c r="E53" s="107"/>
      <c r="F53" s="107"/>
      <c r="G53" s="107"/>
      <c r="H53" s="118" t="s">
        <v>118</v>
      </c>
      <c r="I53" s="118"/>
      <c r="M53" s="107"/>
      <c r="N53" s="107"/>
    </row>
    <row r="54" spans="1:14" ht="10.5" customHeight="1" thickBot="1">
      <c r="A54" s="113"/>
      <c r="B54" s="113"/>
      <c r="C54" s="107"/>
      <c r="D54" s="107"/>
      <c r="E54" s="107"/>
      <c r="F54" s="107"/>
      <c r="G54" s="107"/>
      <c r="H54" s="118" t="s">
        <v>119</v>
      </c>
      <c r="I54" s="118"/>
      <c r="J54" s="107"/>
      <c r="K54" s="107"/>
      <c r="L54" s="132"/>
      <c r="M54" s="107"/>
      <c r="N54" s="107"/>
    </row>
    <row r="55" spans="1:14" ht="10.5" customHeight="1">
      <c r="A55" s="113"/>
      <c r="B55" s="113"/>
      <c r="C55" s="107"/>
      <c r="D55" s="107"/>
      <c r="E55" s="107"/>
      <c r="F55" s="107"/>
      <c r="G55" s="107"/>
      <c r="H55" s="118" t="s">
        <v>120</v>
      </c>
      <c r="I55" s="118"/>
      <c r="J55" s="116" t="s">
        <v>102</v>
      </c>
      <c r="K55" s="305"/>
      <c r="L55" s="306" t="s">
        <v>103</v>
      </c>
      <c r="M55" s="307"/>
      <c r="N55" s="107"/>
    </row>
    <row r="56" spans="1:14" ht="10.5" customHeight="1" thickBot="1">
      <c r="A56" s="113"/>
      <c r="B56" s="113"/>
      <c r="C56" s="107"/>
      <c r="D56" s="107"/>
      <c r="E56" s="107"/>
      <c r="F56" s="107"/>
      <c r="G56" s="107"/>
      <c r="H56" s="118" t="s">
        <v>121</v>
      </c>
      <c r="I56" s="118"/>
      <c r="J56" s="137">
        <v>2000</v>
      </c>
      <c r="K56" s="308"/>
      <c r="L56" s="318">
        <f>J56</f>
        <v>2000</v>
      </c>
      <c r="M56" s="309"/>
      <c r="N56" s="107"/>
    </row>
    <row r="57" spans="1:14" ht="4.5" customHeight="1">
      <c r="A57" s="113"/>
      <c r="B57" s="119"/>
      <c r="C57" s="115"/>
      <c r="D57" s="115"/>
      <c r="E57" s="115"/>
      <c r="F57" s="115"/>
      <c r="G57" s="115"/>
      <c r="H57" s="120"/>
      <c r="I57" s="120"/>
      <c r="J57" s="138"/>
      <c r="K57" s="115"/>
      <c r="L57" s="139"/>
      <c r="M57" s="115"/>
      <c r="N57" s="107"/>
    </row>
    <row r="58" spans="1:14" ht="4.5" customHeight="1" thickBot="1">
      <c r="A58" s="113"/>
      <c r="B58" s="113"/>
      <c r="C58" s="107"/>
      <c r="D58" s="107"/>
      <c r="E58" s="107"/>
      <c r="F58" s="107"/>
      <c r="G58" s="107"/>
      <c r="H58" s="118"/>
      <c r="I58" s="118"/>
      <c r="J58" s="137"/>
      <c r="K58" s="107"/>
      <c r="L58" s="57"/>
      <c r="M58" s="107"/>
      <c r="N58" s="107"/>
    </row>
    <row r="59" spans="1:14" ht="10.5" customHeight="1">
      <c r="A59" s="113"/>
      <c r="B59" s="113">
        <f>B53+1</f>
        <v>10</v>
      </c>
      <c r="C59" s="107"/>
      <c r="D59" s="107"/>
      <c r="E59" s="107"/>
      <c r="F59" s="107"/>
      <c r="G59" s="107"/>
      <c r="H59" s="118" t="s">
        <v>122</v>
      </c>
      <c r="I59" s="118"/>
      <c r="J59" s="116" t="s">
        <v>102</v>
      </c>
      <c r="K59" s="305"/>
      <c r="L59" s="306" t="s">
        <v>103</v>
      </c>
      <c r="M59" s="307"/>
      <c r="N59" s="107"/>
    </row>
    <row r="60" spans="1:14" ht="10.5" customHeight="1" thickBot="1">
      <c r="A60" s="113"/>
      <c r="B60" s="113"/>
      <c r="C60" s="107"/>
      <c r="D60" s="107"/>
      <c r="E60" s="107"/>
      <c r="F60" s="107"/>
      <c r="G60" s="107"/>
      <c r="H60" s="118" t="s">
        <v>123</v>
      </c>
      <c r="I60" s="118"/>
      <c r="J60" s="137">
        <v>1</v>
      </c>
      <c r="K60" s="308"/>
      <c r="L60" s="318">
        <f>J60</f>
        <v>1</v>
      </c>
      <c r="M60" s="309"/>
      <c r="N60" s="107"/>
    </row>
    <row r="61" spans="1:14" ht="4.5" customHeight="1" thickBot="1">
      <c r="A61" s="113"/>
      <c r="B61" s="119"/>
      <c r="C61" s="115"/>
      <c r="D61" s="115"/>
      <c r="E61" s="115"/>
      <c r="F61" s="115"/>
      <c r="G61" s="120"/>
      <c r="H61" s="73"/>
      <c r="I61" s="115"/>
      <c r="J61" s="119"/>
      <c r="K61" s="115"/>
      <c r="L61" s="131"/>
      <c r="M61" s="115"/>
      <c r="N61" s="107"/>
    </row>
    <row r="62" spans="1:14" ht="10.5" customHeight="1">
      <c r="A62" s="113"/>
      <c r="B62" s="122"/>
      <c r="C62" s="110"/>
      <c r="D62" s="110"/>
      <c r="E62" s="110"/>
      <c r="F62" s="110"/>
      <c r="G62" s="123"/>
      <c r="H62" s="110"/>
      <c r="I62" s="110"/>
      <c r="J62" s="116" t="s">
        <v>102</v>
      </c>
      <c r="K62" s="305"/>
      <c r="L62" s="306" t="s">
        <v>103</v>
      </c>
      <c r="M62" s="307"/>
      <c r="N62" s="107"/>
    </row>
    <row r="63" spans="1:14" ht="10.5" customHeight="1" thickBot="1">
      <c r="A63" s="113"/>
      <c r="B63" s="113">
        <f>B59+1</f>
        <v>11</v>
      </c>
      <c r="C63" s="107"/>
      <c r="D63" s="107"/>
      <c r="E63" s="107"/>
      <c r="F63" s="107"/>
      <c r="G63" s="118"/>
      <c r="H63" s="118" t="s">
        <v>124</v>
      </c>
      <c r="I63" s="118"/>
      <c r="J63" s="140">
        <v>0.07</v>
      </c>
      <c r="K63" s="308"/>
      <c r="L63" s="319">
        <f>J63</f>
        <v>0.07</v>
      </c>
      <c r="M63" s="309"/>
      <c r="N63" s="107"/>
    </row>
    <row r="64" spans="1:14" ht="4.5" customHeight="1" thickBot="1">
      <c r="A64" s="113"/>
      <c r="B64" s="119"/>
      <c r="C64" s="115"/>
      <c r="D64" s="115"/>
      <c r="E64" s="115"/>
      <c r="F64" s="115"/>
      <c r="G64" s="120"/>
      <c r="H64" s="120"/>
      <c r="I64" s="120"/>
      <c r="J64" s="141"/>
      <c r="K64" s="115"/>
      <c r="L64" s="142"/>
      <c r="M64" s="115"/>
      <c r="N64" s="107"/>
    </row>
    <row r="65" spans="1:14" ht="10.5" customHeight="1">
      <c r="A65" s="113"/>
      <c r="B65" s="122"/>
      <c r="C65" s="110"/>
      <c r="D65" s="110"/>
      <c r="E65" s="110"/>
      <c r="F65" s="110"/>
      <c r="G65" s="123"/>
      <c r="H65" s="123"/>
      <c r="I65" s="123"/>
      <c r="J65" s="116" t="s">
        <v>102</v>
      </c>
      <c r="K65" s="305"/>
      <c r="L65" s="306" t="s">
        <v>103</v>
      </c>
      <c r="M65" s="307"/>
      <c r="N65" s="107"/>
    </row>
    <row r="66" spans="1:14" ht="10.5" customHeight="1" thickBot="1">
      <c r="A66" s="113"/>
      <c r="B66" s="113">
        <f>B63+1</f>
        <v>12</v>
      </c>
      <c r="C66" s="107"/>
      <c r="D66" s="107"/>
      <c r="E66" s="107"/>
      <c r="F66" s="107"/>
      <c r="G66" s="118"/>
      <c r="H66" s="118" t="s">
        <v>125</v>
      </c>
      <c r="I66" s="118"/>
      <c r="J66" s="140">
        <v>0.05</v>
      </c>
      <c r="K66" s="308"/>
      <c r="L66" s="319">
        <f>J66</f>
        <v>0.05</v>
      </c>
      <c r="M66" s="309"/>
      <c r="N66" s="107"/>
    </row>
    <row r="67" spans="1:14" ht="4.5" customHeight="1" thickBot="1">
      <c r="A67" s="113"/>
      <c r="B67" s="119"/>
      <c r="C67" s="115"/>
      <c r="D67" s="115"/>
      <c r="E67" s="115"/>
      <c r="F67" s="115"/>
      <c r="G67" s="120"/>
      <c r="H67" s="120"/>
      <c r="I67" s="120"/>
      <c r="J67" s="141"/>
      <c r="K67" s="115"/>
      <c r="L67" s="142"/>
      <c r="M67" s="115"/>
      <c r="N67" s="107"/>
    </row>
    <row r="68" spans="1:14" ht="10.5" customHeight="1">
      <c r="A68" s="113"/>
      <c r="B68" s="122"/>
      <c r="C68" s="110"/>
      <c r="D68" s="110"/>
      <c r="E68" s="110"/>
      <c r="F68" s="110"/>
      <c r="G68" s="123"/>
      <c r="H68" s="123"/>
      <c r="I68" s="123"/>
      <c r="J68" s="116" t="s">
        <v>102</v>
      </c>
      <c r="K68" s="305"/>
      <c r="L68" s="306" t="s">
        <v>103</v>
      </c>
      <c r="M68" s="307"/>
      <c r="N68" s="107"/>
    </row>
    <row r="69" spans="1:14" ht="10.5" customHeight="1" thickBot="1">
      <c r="A69" s="113"/>
      <c r="B69" s="113">
        <f>+B66+1</f>
        <v>13</v>
      </c>
      <c r="C69" s="107"/>
      <c r="D69" s="107"/>
      <c r="E69" s="107"/>
      <c r="F69" s="107"/>
      <c r="G69" s="118"/>
      <c r="H69" s="118" t="s">
        <v>126</v>
      </c>
      <c r="I69" s="118"/>
      <c r="J69" s="140">
        <v>0.035</v>
      </c>
      <c r="K69" s="308"/>
      <c r="L69" s="319">
        <f>J69</f>
        <v>0.035</v>
      </c>
      <c r="M69" s="309"/>
      <c r="N69" s="107"/>
    </row>
    <row r="70" spans="1:14" ht="4.5" customHeight="1">
      <c r="A70" s="113"/>
      <c r="B70" s="119"/>
      <c r="C70" s="115"/>
      <c r="D70" s="115"/>
      <c r="E70" s="115"/>
      <c r="F70" s="115"/>
      <c r="G70" s="120"/>
      <c r="H70" s="120"/>
      <c r="I70" s="120"/>
      <c r="J70" s="119"/>
      <c r="K70" s="115"/>
      <c r="L70" s="142"/>
      <c r="M70" s="115"/>
      <c r="N70" s="107"/>
    </row>
    <row r="71" spans="1:14" ht="4.5" customHeight="1">
      <c r="A71" s="113"/>
      <c r="B71" s="122"/>
      <c r="C71" s="110"/>
      <c r="D71" s="110"/>
      <c r="E71" s="110"/>
      <c r="F71" s="110"/>
      <c r="G71" s="123"/>
      <c r="H71" s="123"/>
      <c r="I71" s="123"/>
      <c r="M71" s="107"/>
      <c r="N71" s="107"/>
    </row>
    <row r="72" spans="1:14" ht="10.5" customHeight="1" thickBot="1">
      <c r="A72" s="113"/>
      <c r="B72" s="113">
        <f>B69+1</f>
        <v>14</v>
      </c>
      <c r="C72" s="107"/>
      <c r="D72" s="107"/>
      <c r="E72" s="107"/>
      <c r="F72" s="107"/>
      <c r="G72" s="118"/>
      <c r="H72" s="118" t="s">
        <v>127</v>
      </c>
      <c r="I72" s="118"/>
      <c r="M72" s="107"/>
      <c r="N72" s="107"/>
    </row>
    <row r="73" spans="1:14" ht="10.5" customHeight="1">
      <c r="A73" s="113"/>
      <c r="B73" s="113"/>
      <c r="C73" s="107"/>
      <c r="D73" s="107"/>
      <c r="E73" s="107"/>
      <c r="F73" s="107"/>
      <c r="G73" s="118"/>
      <c r="H73" s="118" t="s">
        <v>128</v>
      </c>
      <c r="I73" s="118"/>
      <c r="J73" s="116" t="s">
        <v>102</v>
      </c>
      <c r="K73" s="305"/>
      <c r="L73" s="306" t="s">
        <v>103</v>
      </c>
      <c r="M73" s="307"/>
      <c r="N73" s="143" t="s">
        <v>129</v>
      </c>
    </row>
    <row r="74" spans="1:14" ht="10.5" customHeight="1" thickBot="1">
      <c r="A74" s="113"/>
      <c r="B74" s="113"/>
      <c r="C74" s="107"/>
      <c r="D74" s="107"/>
      <c r="E74" s="107"/>
      <c r="F74" s="107"/>
      <c r="G74" s="118"/>
      <c r="H74" s="118" t="s">
        <v>130</v>
      </c>
      <c r="I74" s="118"/>
      <c r="J74" s="140">
        <v>0.02</v>
      </c>
      <c r="K74" s="308"/>
      <c r="L74" s="319">
        <f>J74</f>
        <v>0.02</v>
      </c>
      <c r="M74" s="309"/>
      <c r="N74" s="143" t="s">
        <v>131</v>
      </c>
    </row>
    <row r="75" spans="1:13" ht="7.5" customHeight="1" thickBot="1">
      <c r="A75" s="113"/>
      <c r="B75" s="113"/>
      <c r="C75" s="107"/>
      <c r="D75" s="107"/>
      <c r="E75" s="107"/>
      <c r="F75" s="107"/>
      <c r="G75" s="118"/>
      <c r="H75" s="118"/>
      <c r="I75" s="118"/>
      <c r="J75" s="113"/>
      <c r="K75" s="107"/>
      <c r="L75" s="144"/>
      <c r="M75" s="107"/>
    </row>
    <row r="76" spans="1:14" ht="10.5" customHeight="1" thickBot="1">
      <c r="A76" s="113"/>
      <c r="B76" s="145">
        <f>B72+1</f>
        <v>15</v>
      </c>
      <c r="C76" s="146" t="s">
        <v>132</v>
      </c>
      <c r="D76" s="147"/>
      <c r="E76" s="147"/>
      <c r="F76" s="147"/>
      <c r="G76" s="104"/>
      <c r="H76" s="104"/>
      <c r="I76" s="104"/>
      <c r="J76" s="148"/>
      <c r="K76" s="149" t="s">
        <v>133</v>
      </c>
      <c r="L76" s="320">
        <f>requiredeesavingsrate</f>
        <v>0.07988295441063947</v>
      </c>
      <c r="M76" s="146" t="s">
        <v>134</v>
      </c>
      <c r="N76" s="150"/>
    </row>
    <row r="77" spans="1:14" ht="10.5" customHeight="1">
      <c r="A77" s="113"/>
      <c r="B77" s="113"/>
      <c r="C77" s="107"/>
      <c r="D77" s="107"/>
      <c r="E77" s="107"/>
      <c r="F77" s="107"/>
      <c r="G77" s="118"/>
      <c r="H77" s="118"/>
      <c r="I77" s="118"/>
      <c r="J77" s="143" t="s">
        <v>135</v>
      </c>
      <c r="K77" s="107"/>
      <c r="L77" s="151"/>
      <c r="M77" s="107"/>
      <c r="N77" s="107"/>
    </row>
    <row r="78" spans="1:14" ht="0.75" customHeight="1">
      <c r="A78" s="113"/>
      <c r="B78" s="113"/>
      <c r="C78" s="107"/>
      <c r="D78" s="107"/>
      <c r="E78" s="107"/>
      <c r="F78" s="107"/>
      <c r="G78" s="118"/>
      <c r="H78" s="118"/>
      <c r="I78" s="118"/>
      <c r="J78" s="143"/>
      <c r="K78" s="107"/>
      <c r="L78" s="152"/>
      <c r="M78" s="107"/>
      <c r="N78" s="107"/>
    </row>
    <row r="79" spans="1:14" ht="10.5" customHeight="1">
      <c r="A79" s="113"/>
      <c r="B79" s="132"/>
      <c r="C79" s="107"/>
      <c r="D79" s="107"/>
      <c r="E79" s="107"/>
      <c r="F79" s="107"/>
      <c r="G79" s="118"/>
      <c r="H79" s="118"/>
      <c r="I79" s="118"/>
      <c r="K79" s="107"/>
      <c r="L79" s="151"/>
      <c r="M79" s="107"/>
      <c r="N79" s="107"/>
    </row>
    <row r="80" spans="1:14" ht="10.5" customHeight="1">
      <c r="A80" s="113">
        <f>A20+0.01</f>
        <v>4.02</v>
      </c>
      <c r="B80" s="132" t="s">
        <v>136</v>
      </c>
      <c r="C80" s="107"/>
      <c r="D80" s="107"/>
      <c r="E80" s="107"/>
      <c r="F80" s="107"/>
      <c r="G80" s="118"/>
      <c r="H80" s="118"/>
      <c r="I80" s="118"/>
      <c r="J80" s="153"/>
      <c r="K80" s="154" t="s">
        <v>88</v>
      </c>
      <c r="L80" s="105">
        <f ca="1">TODAY()</f>
        <v>45271</v>
      </c>
      <c r="M80" s="107"/>
      <c r="N80" s="107"/>
    </row>
    <row r="81" spans="1:14" ht="10.5" customHeight="1">
      <c r="A81" s="113"/>
      <c r="B81" s="107"/>
      <c r="C81" s="107"/>
      <c r="D81" s="107"/>
      <c r="E81" s="107"/>
      <c r="F81" s="107"/>
      <c r="G81" s="118"/>
      <c r="H81" s="118"/>
      <c r="I81" s="118"/>
      <c r="J81" s="113"/>
      <c r="K81" s="107"/>
      <c r="L81" s="151"/>
      <c r="M81" s="107"/>
      <c r="N81" s="107"/>
    </row>
    <row r="82" spans="1:14" ht="10.5" customHeight="1">
      <c r="A82" s="113"/>
      <c r="B82" s="155"/>
      <c r="C82" s="155"/>
      <c r="D82" s="156" t="s">
        <v>137</v>
      </c>
      <c r="E82" s="156"/>
      <c r="F82" s="156"/>
      <c r="G82" s="156"/>
      <c r="H82" s="157"/>
      <c r="I82" s="157"/>
      <c r="J82" s="29"/>
      <c r="K82" s="155"/>
      <c r="L82" s="158"/>
      <c r="M82" s="155"/>
      <c r="N82" s="107"/>
    </row>
    <row r="83" spans="1:14" ht="10.5" customHeight="1">
      <c r="A83" s="113"/>
      <c r="B83" s="159" t="s">
        <v>138</v>
      </c>
      <c r="C83" s="159"/>
      <c r="D83" s="159"/>
      <c r="E83" s="160" t="s">
        <v>138</v>
      </c>
      <c r="F83" s="161"/>
      <c r="G83" s="159"/>
      <c r="H83" s="159"/>
      <c r="I83" s="159"/>
      <c r="J83" s="29"/>
      <c r="K83" s="155"/>
      <c r="L83" s="158"/>
      <c r="M83" s="155"/>
      <c r="N83" s="107"/>
    </row>
    <row r="84" spans="1:13" ht="10.5" customHeight="1">
      <c r="A84" s="162"/>
      <c r="B84" s="163" t="s">
        <v>139</v>
      </c>
      <c r="C84" s="163" t="s">
        <v>140</v>
      </c>
      <c r="D84" s="164" t="s">
        <v>141</v>
      </c>
      <c r="E84" s="164" t="s">
        <v>142</v>
      </c>
      <c r="F84" s="161"/>
      <c r="G84" s="164" t="s">
        <v>143</v>
      </c>
      <c r="H84" s="163"/>
      <c r="I84" s="29"/>
      <c r="J84" s="29"/>
      <c r="K84" s="155"/>
      <c r="L84" s="158"/>
      <c r="M84" s="155"/>
    </row>
    <row r="85" spans="1:12" ht="10.5" customHeight="1">
      <c r="A85" s="165"/>
      <c r="B85" s="166"/>
      <c r="C85" s="166"/>
      <c r="D85" s="166"/>
      <c r="E85" s="167"/>
      <c r="F85" s="166"/>
      <c r="G85" s="168"/>
      <c r="H85" s="45"/>
      <c r="I85" s="169"/>
      <c r="J85" s="29"/>
      <c r="L85" s="170"/>
    </row>
    <row r="86" spans="1:12" ht="10.5" customHeight="1">
      <c r="A86" s="162"/>
      <c r="B86" s="159">
        <f>currentage</f>
        <v>35</v>
      </c>
      <c r="C86" s="159">
        <f>currentyr</f>
        <v>2024</v>
      </c>
      <c r="D86" s="171">
        <f>annualsalary</f>
        <v>25000</v>
      </c>
      <c r="E86" s="172">
        <f>spouseannualsalary</f>
        <v>15000</v>
      </c>
      <c r="F86" s="171"/>
      <c r="G86" s="172">
        <f>IF(B86=" "," ",D86+E86)</f>
        <v>40000</v>
      </c>
      <c r="H86" s="50"/>
      <c r="I86" s="162"/>
      <c r="J86" s="29"/>
      <c r="L86" s="170"/>
    </row>
    <row r="87" spans="1:12" ht="10.5" customHeight="1">
      <c r="A87" s="162"/>
      <c r="B87" s="159">
        <f>IF(B86&lt;retage-1,B86+1," ")</f>
        <v>36</v>
      </c>
      <c r="C87" s="159">
        <f>IF(B87=" "," ",C86+1)</f>
        <v>2025</v>
      </c>
      <c r="D87" s="171">
        <f>IF(B87=" "," ",D86*(1+inflation))</f>
        <v>25874.999999999996</v>
      </c>
      <c r="E87" s="172">
        <f>IF(B87=" "," ",E86*(1+inflation))</f>
        <v>15524.999999999998</v>
      </c>
      <c r="F87" s="171"/>
      <c r="G87" s="172">
        <f aca="true" t="shared" si="0" ref="G87:G102">IF(B87=" "," ",D87+E87)</f>
        <v>41399.99999999999</v>
      </c>
      <c r="H87" s="50"/>
      <c r="I87" s="50"/>
      <c r="J87" s="162"/>
      <c r="L87" s="170"/>
    </row>
    <row r="88" spans="1:12" ht="10.5" customHeight="1">
      <c r="A88" s="162"/>
      <c r="B88" s="159">
        <f aca="true" t="shared" si="1" ref="B88:B103">IF(B87&lt;retage-1,B87+1," ")</f>
        <v>37</v>
      </c>
      <c r="C88" s="159">
        <f aca="true" t="shared" si="2" ref="C88:C103">IF(B88=" "," ",C87+1)</f>
        <v>2026</v>
      </c>
      <c r="D88" s="171">
        <f aca="true" t="shared" si="3" ref="D88:D103">IF(B88=" "," ",D87*(1+inflation))</f>
        <v>26780.624999999993</v>
      </c>
      <c r="E88" s="172">
        <f aca="true" t="shared" si="4" ref="E88:E103">IF(B88=" "," ",E87*(1+inflation))</f>
        <v>16068.374999999996</v>
      </c>
      <c r="F88" s="171"/>
      <c r="G88" s="172">
        <f t="shared" si="0"/>
        <v>42848.999999999985</v>
      </c>
      <c r="H88" s="50"/>
      <c r="I88" s="50"/>
      <c r="J88" s="162"/>
      <c r="L88" s="170"/>
    </row>
    <row r="89" spans="1:12" ht="10.5" customHeight="1">
      <c r="A89" s="162"/>
      <c r="B89" s="159">
        <f t="shared" si="1"/>
        <v>38</v>
      </c>
      <c r="C89" s="159">
        <f t="shared" si="2"/>
        <v>2027</v>
      </c>
      <c r="D89" s="171">
        <f t="shared" si="3"/>
        <v>27717.94687499999</v>
      </c>
      <c r="E89" s="172">
        <f t="shared" si="4"/>
        <v>16630.768124999995</v>
      </c>
      <c r="F89" s="171"/>
      <c r="G89" s="172">
        <f t="shared" si="0"/>
        <v>44348.71499999998</v>
      </c>
      <c r="H89" s="50"/>
      <c r="I89" s="50"/>
      <c r="J89" s="162"/>
      <c r="L89" s="170"/>
    </row>
    <row r="90" spans="1:12" ht="10.5" customHeight="1">
      <c r="A90" s="165"/>
      <c r="B90" s="173">
        <f t="shared" si="1"/>
        <v>39</v>
      </c>
      <c r="C90" s="173">
        <f t="shared" si="2"/>
        <v>2028</v>
      </c>
      <c r="D90" s="174">
        <f t="shared" si="3"/>
        <v>28688.07501562499</v>
      </c>
      <c r="E90" s="175">
        <f t="shared" si="4"/>
        <v>17212.845009374993</v>
      </c>
      <c r="F90" s="174"/>
      <c r="G90" s="175">
        <f t="shared" si="0"/>
        <v>45900.920024999985</v>
      </c>
      <c r="H90" s="50"/>
      <c r="I90" s="50"/>
      <c r="J90" s="162"/>
      <c r="L90" s="170"/>
    </row>
    <row r="91" spans="1:12" ht="10.5" customHeight="1">
      <c r="A91" s="162"/>
      <c r="B91" s="159">
        <f t="shared" si="1"/>
        <v>40</v>
      </c>
      <c r="C91" s="159">
        <f t="shared" si="2"/>
        <v>2029</v>
      </c>
      <c r="D91" s="171">
        <f t="shared" si="3"/>
        <v>29692.15764117186</v>
      </c>
      <c r="E91" s="172">
        <f t="shared" si="4"/>
        <v>17815.294584703115</v>
      </c>
      <c r="F91" s="171"/>
      <c r="G91" s="172">
        <f t="shared" si="0"/>
        <v>47507.45222587498</v>
      </c>
      <c r="H91" s="50"/>
      <c r="I91" s="50"/>
      <c r="J91" s="162"/>
      <c r="L91" s="170"/>
    </row>
    <row r="92" spans="1:12" ht="10.5" customHeight="1">
      <c r="A92" s="162"/>
      <c r="B92" s="159">
        <f t="shared" si="1"/>
        <v>41</v>
      </c>
      <c r="C92" s="159">
        <f t="shared" si="2"/>
        <v>2030</v>
      </c>
      <c r="D92" s="171">
        <f t="shared" si="3"/>
        <v>30731.383158612873</v>
      </c>
      <c r="E92" s="172">
        <f t="shared" si="4"/>
        <v>18438.829895167724</v>
      </c>
      <c r="F92" s="171"/>
      <c r="G92" s="172">
        <f t="shared" si="0"/>
        <v>49170.21305378059</v>
      </c>
      <c r="H92" s="50"/>
      <c r="I92" s="50"/>
      <c r="J92" s="162"/>
      <c r="L92" s="170"/>
    </row>
    <row r="93" spans="1:12" ht="10.5" customHeight="1">
      <c r="A93" s="162"/>
      <c r="B93" s="159">
        <f t="shared" si="1"/>
        <v>42</v>
      </c>
      <c r="C93" s="159">
        <f t="shared" si="2"/>
        <v>2031</v>
      </c>
      <c r="D93" s="171">
        <f t="shared" si="3"/>
        <v>31806.98156916432</v>
      </c>
      <c r="E93" s="172">
        <f t="shared" si="4"/>
        <v>19084.188941498593</v>
      </c>
      <c r="F93" s="171"/>
      <c r="G93" s="172">
        <f t="shared" si="0"/>
        <v>50891.17051066291</v>
      </c>
      <c r="H93" s="50"/>
      <c r="I93" s="50"/>
      <c r="J93" s="162"/>
      <c r="L93" s="170"/>
    </row>
    <row r="94" spans="1:12" ht="10.5" customHeight="1">
      <c r="A94" s="162"/>
      <c r="B94" s="159">
        <f t="shared" si="1"/>
        <v>43</v>
      </c>
      <c r="C94" s="159">
        <f t="shared" si="2"/>
        <v>2032</v>
      </c>
      <c r="D94" s="171">
        <f t="shared" si="3"/>
        <v>32920.22592408507</v>
      </c>
      <c r="E94" s="172">
        <f t="shared" si="4"/>
        <v>19752.13555445104</v>
      </c>
      <c r="F94" s="171"/>
      <c r="G94" s="172">
        <f t="shared" si="0"/>
        <v>52672.36147853611</v>
      </c>
      <c r="H94" s="50"/>
      <c r="I94" s="50"/>
      <c r="J94" s="162"/>
      <c r="L94" s="170"/>
    </row>
    <row r="95" spans="1:12" ht="10.5" customHeight="1">
      <c r="A95" s="165"/>
      <c r="B95" s="173">
        <f t="shared" si="1"/>
        <v>44</v>
      </c>
      <c r="C95" s="173">
        <f t="shared" si="2"/>
        <v>2033</v>
      </c>
      <c r="D95" s="174">
        <f t="shared" si="3"/>
        <v>34072.43383142805</v>
      </c>
      <c r="E95" s="175">
        <f t="shared" si="4"/>
        <v>20443.460298856826</v>
      </c>
      <c r="F95" s="174"/>
      <c r="G95" s="175">
        <f t="shared" si="0"/>
        <v>54515.89413028487</v>
      </c>
      <c r="H95" s="50"/>
      <c r="I95" s="50"/>
      <c r="J95" s="162"/>
      <c r="L95" s="170"/>
    </row>
    <row r="96" spans="1:12" ht="10.5" customHeight="1">
      <c r="A96" s="162"/>
      <c r="B96" s="159">
        <f t="shared" si="1"/>
        <v>45</v>
      </c>
      <c r="C96" s="159">
        <f t="shared" si="2"/>
        <v>2034</v>
      </c>
      <c r="D96" s="171">
        <f t="shared" si="3"/>
        <v>35264.969015528026</v>
      </c>
      <c r="E96" s="172">
        <f t="shared" si="4"/>
        <v>21158.981409316813</v>
      </c>
      <c r="F96" s="171"/>
      <c r="G96" s="172">
        <f t="shared" si="0"/>
        <v>56423.950424844836</v>
      </c>
      <c r="H96" s="50"/>
      <c r="I96" s="50"/>
      <c r="J96" s="162"/>
      <c r="L96" s="170"/>
    </row>
    <row r="97" spans="1:12" ht="10.5" customHeight="1">
      <c r="A97" s="162"/>
      <c r="B97" s="159">
        <f t="shared" si="1"/>
        <v>46</v>
      </c>
      <c r="C97" s="159">
        <f t="shared" si="2"/>
        <v>2035</v>
      </c>
      <c r="D97" s="171">
        <f t="shared" si="3"/>
        <v>36499.2429310715</v>
      </c>
      <c r="E97" s="172">
        <f t="shared" si="4"/>
        <v>21899.5457586429</v>
      </c>
      <c r="F97" s="171"/>
      <c r="G97" s="172">
        <f t="shared" si="0"/>
        <v>58398.788689714405</v>
      </c>
      <c r="H97" s="50"/>
      <c r="I97" s="50"/>
      <c r="J97" s="162"/>
      <c r="L97" s="170"/>
    </row>
    <row r="98" spans="1:12" ht="10.5" customHeight="1">
      <c r="A98" s="162"/>
      <c r="B98" s="159">
        <f t="shared" si="1"/>
        <v>47</v>
      </c>
      <c r="C98" s="159">
        <f t="shared" si="2"/>
        <v>2036</v>
      </c>
      <c r="D98" s="171">
        <f t="shared" si="3"/>
        <v>37776.716433659</v>
      </c>
      <c r="E98" s="172">
        <f t="shared" si="4"/>
        <v>22666.0298601954</v>
      </c>
      <c r="F98" s="171"/>
      <c r="G98" s="172">
        <f t="shared" si="0"/>
        <v>60442.7462938544</v>
      </c>
      <c r="H98" s="50"/>
      <c r="I98" s="50"/>
      <c r="J98" s="162"/>
      <c r="L98" s="170"/>
    </row>
    <row r="99" spans="1:12" ht="10.5" customHeight="1">
      <c r="A99" s="162"/>
      <c r="B99" s="159">
        <f t="shared" si="1"/>
        <v>48</v>
      </c>
      <c r="C99" s="159">
        <f t="shared" si="2"/>
        <v>2037</v>
      </c>
      <c r="D99" s="171">
        <f t="shared" si="3"/>
        <v>39098.90150883706</v>
      </c>
      <c r="E99" s="172">
        <f t="shared" si="4"/>
        <v>23459.340905302237</v>
      </c>
      <c r="F99" s="171"/>
      <c r="G99" s="172">
        <f t="shared" si="0"/>
        <v>62558.2424141393</v>
      </c>
      <c r="H99" s="50"/>
      <c r="I99" s="50"/>
      <c r="J99" s="162"/>
      <c r="L99" s="170"/>
    </row>
    <row r="100" spans="1:12" ht="10.5" customHeight="1">
      <c r="A100" s="165"/>
      <c r="B100" s="173">
        <f t="shared" si="1"/>
        <v>49</v>
      </c>
      <c r="C100" s="173">
        <f t="shared" si="2"/>
        <v>2038</v>
      </c>
      <c r="D100" s="174">
        <f t="shared" si="3"/>
        <v>40467.36306164635</v>
      </c>
      <c r="E100" s="175">
        <f t="shared" si="4"/>
        <v>24280.417836987814</v>
      </c>
      <c r="F100" s="174"/>
      <c r="G100" s="175">
        <f t="shared" si="0"/>
        <v>64747.78089863416</v>
      </c>
      <c r="H100" s="50"/>
      <c r="I100" s="50"/>
      <c r="J100" s="162"/>
      <c r="L100" s="170"/>
    </row>
    <row r="101" spans="1:12" ht="10.5" customHeight="1">
      <c r="A101" s="162"/>
      <c r="B101" s="159">
        <f t="shared" si="1"/>
        <v>50</v>
      </c>
      <c r="C101" s="159">
        <f t="shared" si="2"/>
        <v>2039</v>
      </c>
      <c r="D101" s="171">
        <f t="shared" si="3"/>
        <v>41883.72076880397</v>
      </c>
      <c r="E101" s="172">
        <f t="shared" si="4"/>
        <v>25130.232461282387</v>
      </c>
      <c r="F101" s="171"/>
      <c r="G101" s="172">
        <f t="shared" si="0"/>
        <v>67013.95323008636</v>
      </c>
      <c r="H101" s="50"/>
      <c r="I101" s="50"/>
      <c r="J101" s="162"/>
      <c r="L101" s="170"/>
    </row>
    <row r="102" spans="1:12" ht="10.5" customHeight="1">
      <c r="A102" s="162"/>
      <c r="B102" s="159">
        <f t="shared" si="1"/>
        <v>51</v>
      </c>
      <c r="C102" s="159">
        <f t="shared" si="2"/>
        <v>2040</v>
      </c>
      <c r="D102" s="171">
        <f t="shared" si="3"/>
        <v>43349.65099571211</v>
      </c>
      <c r="E102" s="172">
        <f t="shared" si="4"/>
        <v>26009.79059742727</v>
      </c>
      <c r="F102" s="171"/>
      <c r="G102" s="172">
        <f t="shared" si="0"/>
        <v>69359.44159313937</v>
      </c>
      <c r="H102" s="50"/>
      <c r="I102" s="50"/>
      <c r="J102" s="162"/>
      <c r="L102" s="170"/>
    </row>
    <row r="103" spans="1:12" ht="10.5" customHeight="1">
      <c r="A103" s="162"/>
      <c r="B103" s="159">
        <f t="shared" si="1"/>
        <v>52</v>
      </c>
      <c r="C103" s="159">
        <f t="shared" si="2"/>
        <v>2041</v>
      </c>
      <c r="D103" s="171">
        <f t="shared" si="3"/>
        <v>44866.88878056203</v>
      </c>
      <c r="E103" s="172">
        <f t="shared" si="4"/>
        <v>26920.13326833722</v>
      </c>
      <c r="F103" s="171"/>
      <c r="G103" s="172">
        <f aca="true" t="shared" si="5" ref="G103:G118">IF(B103=" "," ",D103+E103)</f>
        <v>71787.02204889925</v>
      </c>
      <c r="H103" s="50"/>
      <c r="I103" s="50"/>
      <c r="J103" s="162"/>
      <c r="L103" s="170"/>
    </row>
    <row r="104" spans="1:12" ht="10.5" customHeight="1">
      <c r="A104" s="162"/>
      <c r="B104" s="159">
        <f aca="true" t="shared" si="6" ref="B104:B119">IF(B103&lt;retage-1,B103+1," ")</f>
        <v>53</v>
      </c>
      <c r="C104" s="159">
        <f aca="true" t="shared" si="7" ref="C104:C119">IF(B104=" "," ",C103+1)</f>
        <v>2042</v>
      </c>
      <c r="D104" s="171">
        <f aca="true" t="shared" si="8" ref="D104:D119">IF(B104=" "," ",D103*(1+inflation))</f>
        <v>46437.2298878817</v>
      </c>
      <c r="E104" s="172">
        <f aca="true" t="shared" si="9" ref="E104:E119">IF(B104=" "," ",E103*(1+inflation))</f>
        <v>27862.33793272902</v>
      </c>
      <c r="F104" s="171"/>
      <c r="G104" s="172">
        <f t="shared" si="5"/>
        <v>74299.56782061073</v>
      </c>
      <c r="H104" s="50"/>
      <c r="I104" s="50"/>
      <c r="J104" s="162"/>
      <c r="L104" s="170"/>
    </row>
    <row r="105" spans="1:12" ht="10.5" customHeight="1">
      <c r="A105" s="165"/>
      <c r="B105" s="173">
        <f t="shared" si="6"/>
        <v>54</v>
      </c>
      <c r="C105" s="173">
        <f t="shared" si="7"/>
        <v>2043</v>
      </c>
      <c r="D105" s="174">
        <f t="shared" si="8"/>
        <v>48062.532933957555</v>
      </c>
      <c r="E105" s="175">
        <f t="shared" si="9"/>
        <v>28837.519760374533</v>
      </c>
      <c r="F105" s="174"/>
      <c r="G105" s="175">
        <f t="shared" si="5"/>
        <v>76900.05269433209</v>
      </c>
      <c r="H105" s="50"/>
      <c r="I105" s="50"/>
      <c r="J105" s="162"/>
      <c r="L105" s="170"/>
    </row>
    <row r="106" spans="1:12" ht="10.5" customHeight="1">
      <c r="A106" s="162"/>
      <c r="B106" s="159">
        <f t="shared" si="6"/>
        <v>55</v>
      </c>
      <c r="C106" s="159">
        <f t="shared" si="7"/>
        <v>2044</v>
      </c>
      <c r="D106" s="171">
        <f t="shared" si="8"/>
        <v>49744.72158664607</v>
      </c>
      <c r="E106" s="172">
        <f t="shared" si="9"/>
        <v>29846.83295198764</v>
      </c>
      <c r="F106" s="171"/>
      <c r="G106" s="172">
        <f t="shared" si="5"/>
        <v>79591.5545386337</v>
      </c>
      <c r="H106" s="50"/>
      <c r="I106" s="50"/>
      <c r="J106" s="162"/>
      <c r="L106" s="170"/>
    </row>
    <row r="107" spans="1:12" ht="10.5" customHeight="1">
      <c r="A107" s="162"/>
      <c r="B107" s="159">
        <f t="shared" si="6"/>
        <v>56</v>
      </c>
      <c r="C107" s="159">
        <f t="shared" si="7"/>
        <v>2045</v>
      </c>
      <c r="D107" s="171">
        <f t="shared" si="8"/>
        <v>51485.78684217868</v>
      </c>
      <c r="E107" s="172">
        <f t="shared" si="9"/>
        <v>30891.472105307203</v>
      </c>
      <c r="F107" s="171"/>
      <c r="G107" s="172">
        <f t="shared" si="5"/>
        <v>82377.25894748588</v>
      </c>
      <c r="H107" s="50"/>
      <c r="I107" s="50"/>
      <c r="J107" s="162"/>
      <c r="L107" s="170"/>
    </row>
    <row r="108" spans="1:12" ht="10.5" customHeight="1">
      <c r="A108" s="162"/>
      <c r="B108" s="159">
        <f t="shared" si="6"/>
        <v>57</v>
      </c>
      <c r="C108" s="159">
        <f t="shared" si="7"/>
        <v>2046</v>
      </c>
      <c r="D108" s="171">
        <f t="shared" si="8"/>
        <v>53287.789381654926</v>
      </c>
      <c r="E108" s="172">
        <f t="shared" si="9"/>
        <v>31972.67362899295</v>
      </c>
      <c r="F108" s="171"/>
      <c r="G108" s="172">
        <f t="shared" si="5"/>
        <v>85260.46301064787</v>
      </c>
      <c r="H108" s="50"/>
      <c r="I108" s="50"/>
      <c r="J108" s="162"/>
      <c r="L108" s="170"/>
    </row>
    <row r="109" spans="1:12" ht="10.5" customHeight="1">
      <c r="A109" s="162"/>
      <c r="B109" s="159">
        <f t="shared" si="6"/>
        <v>58</v>
      </c>
      <c r="C109" s="159">
        <f t="shared" si="7"/>
        <v>2047</v>
      </c>
      <c r="D109" s="171">
        <f t="shared" si="8"/>
        <v>55152.86201001285</v>
      </c>
      <c r="E109" s="172">
        <f t="shared" si="9"/>
        <v>33091.7172060077</v>
      </c>
      <c r="F109" s="171"/>
      <c r="G109" s="172">
        <f t="shared" si="5"/>
        <v>88244.57921602055</v>
      </c>
      <c r="H109" s="50"/>
      <c r="I109" s="50"/>
      <c r="J109" s="162"/>
      <c r="L109" s="170"/>
    </row>
    <row r="110" spans="1:12" ht="10.5" customHeight="1">
      <c r="A110" s="165"/>
      <c r="B110" s="173">
        <f t="shared" si="6"/>
        <v>59</v>
      </c>
      <c r="C110" s="173">
        <f t="shared" si="7"/>
        <v>2048</v>
      </c>
      <c r="D110" s="174">
        <f t="shared" si="8"/>
        <v>57083.21218036329</v>
      </c>
      <c r="E110" s="175">
        <f t="shared" si="9"/>
        <v>34249.927308217964</v>
      </c>
      <c r="F110" s="174"/>
      <c r="G110" s="175">
        <f t="shared" si="5"/>
        <v>91333.13948858125</v>
      </c>
      <c r="H110" s="50"/>
      <c r="I110" s="50"/>
      <c r="J110" s="162"/>
      <c r="L110" s="170"/>
    </row>
    <row r="111" spans="1:12" ht="10.5" customHeight="1">
      <c r="A111" s="162"/>
      <c r="B111" s="159">
        <f t="shared" si="6"/>
        <v>60</v>
      </c>
      <c r="C111" s="159">
        <f t="shared" si="7"/>
        <v>2049</v>
      </c>
      <c r="D111" s="171">
        <f t="shared" si="8"/>
        <v>59081.124606676</v>
      </c>
      <c r="E111" s="172">
        <f t="shared" si="9"/>
        <v>35448.67476400559</v>
      </c>
      <c r="F111" s="171"/>
      <c r="G111" s="172">
        <f t="shared" si="5"/>
        <v>94529.79937068159</v>
      </c>
      <c r="H111" s="50"/>
      <c r="I111" s="50"/>
      <c r="J111" s="162"/>
      <c r="L111" s="170"/>
    </row>
    <row r="112" spans="1:12" ht="10.5" customHeight="1">
      <c r="A112" s="162"/>
      <c r="B112" s="159">
        <f t="shared" si="6"/>
        <v>61</v>
      </c>
      <c r="C112" s="159">
        <f t="shared" si="7"/>
        <v>2050</v>
      </c>
      <c r="D112" s="171">
        <f t="shared" si="8"/>
        <v>61148.96396790966</v>
      </c>
      <c r="E112" s="172">
        <f t="shared" si="9"/>
        <v>36689.37838074578</v>
      </c>
      <c r="F112" s="171"/>
      <c r="G112" s="172">
        <f t="shared" si="5"/>
        <v>97838.34234865544</v>
      </c>
      <c r="H112" s="50"/>
      <c r="I112" s="50"/>
      <c r="J112" s="162"/>
      <c r="L112" s="170"/>
    </row>
    <row r="113" spans="1:12" ht="10.5" customHeight="1">
      <c r="A113" s="162"/>
      <c r="B113" s="159">
        <f t="shared" si="6"/>
        <v>62</v>
      </c>
      <c r="C113" s="159">
        <f t="shared" si="7"/>
        <v>2051</v>
      </c>
      <c r="D113" s="171">
        <f t="shared" si="8"/>
        <v>63289.17770678649</v>
      </c>
      <c r="E113" s="172">
        <f t="shared" si="9"/>
        <v>37973.50662407188</v>
      </c>
      <c r="F113" s="171"/>
      <c r="G113" s="172">
        <f t="shared" si="5"/>
        <v>101262.68433085838</v>
      </c>
      <c r="H113" s="50"/>
      <c r="I113" s="50"/>
      <c r="J113" s="162"/>
      <c r="L113" s="170"/>
    </row>
    <row r="114" spans="1:12" ht="10.5" customHeight="1">
      <c r="A114" s="162"/>
      <c r="B114" s="159">
        <f t="shared" si="6"/>
        <v>63</v>
      </c>
      <c r="C114" s="159">
        <f t="shared" si="7"/>
        <v>2052</v>
      </c>
      <c r="D114" s="171">
        <f t="shared" si="8"/>
        <v>65504.29892652401</v>
      </c>
      <c r="E114" s="172">
        <f t="shared" si="9"/>
        <v>39302.57935591439</v>
      </c>
      <c r="F114" s="171"/>
      <c r="G114" s="172">
        <f t="shared" si="5"/>
        <v>104806.87828243841</v>
      </c>
      <c r="H114" s="50"/>
      <c r="I114" s="50"/>
      <c r="J114" s="162"/>
      <c r="L114" s="170"/>
    </row>
    <row r="115" spans="1:12" ht="10.5" customHeight="1">
      <c r="A115" s="165"/>
      <c r="B115" s="173">
        <f t="shared" si="6"/>
        <v>64</v>
      </c>
      <c r="C115" s="173">
        <f t="shared" si="7"/>
        <v>2053</v>
      </c>
      <c r="D115" s="174">
        <f t="shared" si="8"/>
        <v>67796.94938895234</v>
      </c>
      <c r="E115" s="175">
        <f t="shared" si="9"/>
        <v>40678.16963337139</v>
      </c>
      <c r="F115" s="174"/>
      <c r="G115" s="175">
        <f t="shared" si="5"/>
        <v>108475.11902232374</v>
      </c>
      <c r="H115" s="50"/>
      <c r="I115" s="50"/>
      <c r="J115" s="162"/>
      <c r="L115" s="170"/>
    </row>
    <row r="116" spans="1:12" ht="10.5" customHeight="1">
      <c r="A116" s="162"/>
      <c r="B116" s="159" t="str">
        <f t="shared" si="6"/>
        <v> </v>
      </c>
      <c r="C116" s="159" t="str">
        <f t="shared" si="7"/>
        <v> </v>
      </c>
      <c r="D116" s="171" t="str">
        <f t="shared" si="8"/>
        <v> </v>
      </c>
      <c r="E116" s="172" t="str">
        <f t="shared" si="9"/>
        <v> </v>
      </c>
      <c r="F116" s="171"/>
      <c r="G116" s="172" t="str">
        <f t="shared" si="5"/>
        <v> </v>
      </c>
      <c r="H116" s="50"/>
      <c r="I116" s="50"/>
      <c r="J116" s="162"/>
      <c r="L116" s="170"/>
    </row>
    <row r="117" spans="1:12" ht="10.5" customHeight="1">
      <c r="A117" s="162"/>
      <c r="B117" s="159" t="str">
        <f t="shared" si="6"/>
        <v> </v>
      </c>
      <c r="C117" s="159" t="str">
        <f t="shared" si="7"/>
        <v> </v>
      </c>
      <c r="D117" s="171" t="str">
        <f t="shared" si="8"/>
        <v> </v>
      </c>
      <c r="E117" s="172" t="str">
        <f t="shared" si="9"/>
        <v> </v>
      </c>
      <c r="F117" s="171"/>
      <c r="G117" s="172" t="str">
        <f t="shared" si="5"/>
        <v> </v>
      </c>
      <c r="H117" s="50"/>
      <c r="I117" s="50"/>
      <c r="J117" s="162"/>
      <c r="L117" s="170"/>
    </row>
    <row r="118" spans="1:12" ht="10.5" customHeight="1">
      <c r="A118" s="162"/>
      <c r="B118" s="159" t="str">
        <f t="shared" si="6"/>
        <v> </v>
      </c>
      <c r="C118" s="159" t="str">
        <f t="shared" si="7"/>
        <v> </v>
      </c>
      <c r="D118" s="171" t="str">
        <f t="shared" si="8"/>
        <v> </v>
      </c>
      <c r="E118" s="172" t="str">
        <f t="shared" si="9"/>
        <v> </v>
      </c>
      <c r="F118" s="171"/>
      <c r="G118" s="172" t="str">
        <f t="shared" si="5"/>
        <v> </v>
      </c>
      <c r="H118" s="50"/>
      <c r="I118" s="50"/>
      <c r="J118" s="162"/>
      <c r="L118" s="170"/>
    </row>
    <row r="119" spans="1:12" ht="10.5" customHeight="1">
      <c r="A119" s="162"/>
      <c r="B119" s="159" t="str">
        <f t="shared" si="6"/>
        <v> </v>
      </c>
      <c r="C119" s="159" t="str">
        <f t="shared" si="7"/>
        <v> </v>
      </c>
      <c r="D119" s="171" t="str">
        <f t="shared" si="8"/>
        <v> </v>
      </c>
      <c r="E119" s="172" t="str">
        <f t="shared" si="9"/>
        <v> </v>
      </c>
      <c r="F119" s="171"/>
      <c r="G119" s="172" t="str">
        <f aca="true" t="shared" si="10" ref="G119:G134">IF(B119=" "," ",D119+E119)</f>
        <v> </v>
      </c>
      <c r="H119" s="50"/>
      <c r="I119" s="50"/>
      <c r="J119" s="162"/>
      <c r="L119" s="170"/>
    </row>
    <row r="120" spans="1:12" ht="10.5" customHeight="1">
      <c r="A120" s="165"/>
      <c r="B120" s="173" t="str">
        <f aca="true" t="shared" si="11" ref="B120:B136">IF(B119&lt;retage-1,B119+1," ")</f>
        <v> </v>
      </c>
      <c r="C120" s="173" t="str">
        <f aca="true" t="shared" si="12" ref="C120:C136">IF(B120=" "," ",C119+1)</f>
        <v> </v>
      </c>
      <c r="D120" s="174" t="str">
        <f aca="true" t="shared" si="13" ref="D120:D136">IF(B120=" "," ",D119*(1+inflation))</f>
        <v> </v>
      </c>
      <c r="E120" s="175" t="str">
        <f aca="true" t="shared" si="14" ref="E120:E136">IF(B120=" "," ",E119*(1+inflation))</f>
        <v> </v>
      </c>
      <c r="F120" s="174"/>
      <c r="G120" s="175" t="str">
        <f t="shared" si="10"/>
        <v> </v>
      </c>
      <c r="H120" s="50"/>
      <c r="I120" s="50"/>
      <c r="J120" s="162"/>
      <c r="L120" s="170"/>
    </row>
    <row r="121" spans="1:12" ht="10.5" customHeight="1">
      <c r="A121" s="162"/>
      <c r="B121" s="159" t="str">
        <f t="shared" si="11"/>
        <v> </v>
      </c>
      <c r="C121" s="159" t="str">
        <f t="shared" si="12"/>
        <v> </v>
      </c>
      <c r="D121" s="171" t="str">
        <f t="shared" si="13"/>
        <v> </v>
      </c>
      <c r="E121" s="172" t="str">
        <f t="shared" si="14"/>
        <v> </v>
      </c>
      <c r="F121" s="171"/>
      <c r="G121" s="172" t="str">
        <f t="shared" si="10"/>
        <v> </v>
      </c>
      <c r="H121" s="50"/>
      <c r="I121" s="50"/>
      <c r="J121" s="162"/>
      <c r="L121" s="170"/>
    </row>
    <row r="122" spans="1:12" ht="10.5" customHeight="1">
      <c r="A122" s="162"/>
      <c r="B122" s="159" t="str">
        <f t="shared" si="11"/>
        <v> </v>
      </c>
      <c r="C122" s="159" t="str">
        <f t="shared" si="12"/>
        <v> </v>
      </c>
      <c r="D122" s="171" t="str">
        <f t="shared" si="13"/>
        <v> </v>
      </c>
      <c r="E122" s="172" t="str">
        <f t="shared" si="14"/>
        <v> </v>
      </c>
      <c r="F122" s="171"/>
      <c r="G122" s="172" t="str">
        <f t="shared" si="10"/>
        <v> </v>
      </c>
      <c r="H122" s="50"/>
      <c r="I122" s="50"/>
      <c r="J122" s="162"/>
      <c r="L122" s="170"/>
    </row>
    <row r="123" spans="1:12" ht="10.5" customHeight="1">
      <c r="A123" s="162"/>
      <c r="B123" s="159" t="str">
        <f t="shared" si="11"/>
        <v> </v>
      </c>
      <c r="C123" s="159" t="str">
        <f t="shared" si="12"/>
        <v> </v>
      </c>
      <c r="D123" s="171" t="str">
        <f t="shared" si="13"/>
        <v> </v>
      </c>
      <c r="E123" s="172" t="str">
        <f t="shared" si="14"/>
        <v> </v>
      </c>
      <c r="F123" s="171"/>
      <c r="G123" s="172" t="str">
        <f t="shared" si="10"/>
        <v> </v>
      </c>
      <c r="H123" s="50"/>
      <c r="I123" s="50"/>
      <c r="J123" s="162"/>
      <c r="L123" s="170"/>
    </row>
    <row r="124" spans="1:12" ht="10.5" customHeight="1">
      <c r="A124" s="162"/>
      <c r="B124" s="159" t="str">
        <f t="shared" si="11"/>
        <v> </v>
      </c>
      <c r="C124" s="159" t="str">
        <f t="shared" si="12"/>
        <v> </v>
      </c>
      <c r="D124" s="171" t="str">
        <f t="shared" si="13"/>
        <v> </v>
      </c>
      <c r="E124" s="172" t="str">
        <f t="shared" si="14"/>
        <v> </v>
      </c>
      <c r="F124" s="171"/>
      <c r="G124" s="172" t="str">
        <f t="shared" si="10"/>
        <v> </v>
      </c>
      <c r="H124" s="50"/>
      <c r="I124" s="50"/>
      <c r="J124" s="162"/>
      <c r="L124" s="170"/>
    </row>
    <row r="125" spans="1:12" ht="10.5" customHeight="1">
      <c r="A125" s="165"/>
      <c r="B125" s="173" t="str">
        <f t="shared" si="11"/>
        <v> </v>
      </c>
      <c r="C125" s="173" t="str">
        <f t="shared" si="12"/>
        <v> </v>
      </c>
      <c r="D125" s="174" t="str">
        <f t="shared" si="13"/>
        <v> </v>
      </c>
      <c r="E125" s="175" t="str">
        <f t="shared" si="14"/>
        <v> </v>
      </c>
      <c r="F125" s="174"/>
      <c r="G125" s="175" t="str">
        <f t="shared" si="10"/>
        <v> </v>
      </c>
      <c r="H125" s="50"/>
      <c r="I125" s="50"/>
      <c r="J125" s="162"/>
      <c r="L125" s="170"/>
    </row>
    <row r="126" spans="1:12" ht="10.5" customHeight="1">
      <c r="A126" s="162"/>
      <c r="B126" s="159" t="str">
        <f t="shared" si="11"/>
        <v> </v>
      </c>
      <c r="C126" s="159" t="str">
        <f t="shared" si="12"/>
        <v> </v>
      </c>
      <c r="D126" s="171" t="str">
        <f t="shared" si="13"/>
        <v> </v>
      </c>
      <c r="E126" s="172" t="str">
        <f t="shared" si="14"/>
        <v> </v>
      </c>
      <c r="F126" s="171"/>
      <c r="G126" s="172" t="str">
        <f t="shared" si="10"/>
        <v> </v>
      </c>
      <c r="H126" s="50"/>
      <c r="I126" s="50"/>
      <c r="J126" s="162"/>
      <c r="L126" s="170"/>
    </row>
    <row r="127" spans="1:12" ht="10.5" customHeight="1">
      <c r="A127" s="162"/>
      <c r="B127" s="159" t="str">
        <f t="shared" si="11"/>
        <v> </v>
      </c>
      <c r="C127" s="159" t="str">
        <f t="shared" si="12"/>
        <v> </v>
      </c>
      <c r="D127" s="171" t="str">
        <f t="shared" si="13"/>
        <v> </v>
      </c>
      <c r="E127" s="172" t="str">
        <f t="shared" si="14"/>
        <v> </v>
      </c>
      <c r="F127" s="171"/>
      <c r="G127" s="172" t="str">
        <f t="shared" si="10"/>
        <v> </v>
      </c>
      <c r="H127" s="50"/>
      <c r="I127" s="50"/>
      <c r="J127" s="162"/>
      <c r="L127" s="170"/>
    </row>
    <row r="128" spans="1:12" ht="10.5" customHeight="1">
      <c r="A128" s="162"/>
      <c r="B128" s="159" t="str">
        <f t="shared" si="11"/>
        <v> </v>
      </c>
      <c r="C128" s="159" t="str">
        <f t="shared" si="12"/>
        <v> </v>
      </c>
      <c r="D128" s="171" t="str">
        <f t="shared" si="13"/>
        <v> </v>
      </c>
      <c r="E128" s="172" t="str">
        <f t="shared" si="14"/>
        <v> </v>
      </c>
      <c r="F128" s="171"/>
      <c r="G128" s="172" t="str">
        <f t="shared" si="10"/>
        <v> </v>
      </c>
      <c r="H128" s="50"/>
      <c r="I128" s="50"/>
      <c r="J128" s="162"/>
      <c r="L128" s="170"/>
    </row>
    <row r="129" spans="1:12" ht="10.5" customHeight="1">
      <c r="A129" s="162"/>
      <c r="B129" s="159" t="str">
        <f t="shared" si="11"/>
        <v> </v>
      </c>
      <c r="C129" s="159" t="str">
        <f t="shared" si="12"/>
        <v> </v>
      </c>
      <c r="D129" s="171" t="str">
        <f t="shared" si="13"/>
        <v> </v>
      </c>
      <c r="E129" s="172" t="str">
        <f t="shared" si="14"/>
        <v> </v>
      </c>
      <c r="F129" s="171"/>
      <c r="G129" s="172" t="str">
        <f t="shared" si="10"/>
        <v> </v>
      </c>
      <c r="H129" s="50"/>
      <c r="I129" s="50"/>
      <c r="J129" s="162"/>
      <c r="L129" s="170"/>
    </row>
    <row r="130" spans="1:12" ht="10.5" customHeight="1">
      <c r="A130" s="165"/>
      <c r="B130" s="173" t="str">
        <f t="shared" si="11"/>
        <v> </v>
      </c>
      <c r="C130" s="173" t="str">
        <f t="shared" si="12"/>
        <v> </v>
      </c>
      <c r="D130" s="174" t="str">
        <f t="shared" si="13"/>
        <v> </v>
      </c>
      <c r="E130" s="175" t="str">
        <f t="shared" si="14"/>
        <v> </v>
      </c>
      <c r="F130" s="174"/>
      <c r="G130" s="175" t="str">
        <f t="shared" si="10"/>
        <v> </v>
      </c>
      <c r="H130" s="50"/>
      <c r="I130" s="50"/>
      <c r="J130" s="162"/>
      <c r="L130" s="170"/>
    </row>
    <row r="131" spans="1:12" ht="10.5" customHeight="1">
      <c r="A131" s="162"/>
      <c r="B131" s="159" t="str">
        <f t="shared" si="11"/>
        <v> </v>
      </c>
      <c r="C131" s="159" t="str">
        <f t="shared" si="12"/>
        <v> </v>
      </c>
      <c r="D131" s="171" t="str">
        <f t="shared" si="13"/>
        <v> </v>
      </c>
      <c r="E131" s="172" t="str">
        <f t="shared" si="14"/>
        <v> </v>
      </c>
      <c r="F131" s="171"/>
      <c r="G131" s="172" t="str">
        <f t="shared" si="10"/>
        <v> </v>
      </c>
      <c r="H131" s="50"/>
      <c r="I131" s="50"/>
      <c r="J131" s="162"/>
      <c r="L131" s="170"/>
    </row>
    <row r="132" spans="1:12" ht="10.5" customHeight="1">
      <c r="A132" s="162"/>
      <c r="B132" s="159" t="str">
        <f t="shared" si="11"/>
        <v> </v>
      </c>
      <c r="C132" s="159" t="str">
        <f t="shared" si="12"/>
        <v> </v>
      </c>
      <c r="D132" s="171" t="str">
        <f t="shared" si="13"/>
        <v> </v>
      </c>
      <c r="E132" s="172" t="str">
        <f t="shared" si="14"/>
        <v> </v>
      </c>
      <c r="F132" s="171"/>
      <c r="G132" s="172" t="str">
        <f t="shared" si="10"/>
        <v> </v>
      </c>
      <c r="H132" s="50"/>
      <c r="I132" s="50"/>
      <c r="J132" s="162"/>
      <c r="L132" s="170"/>
    </row>
    <row r="133" spans="1:12" ht="10.5" customHeight="1">
      <c r="A133" s="162"/>
      <c r="B133" s="159" t="str">
        <f t="shared" si="11"/>
        <v> </v>
      </c>
      <c r="C133" s="159" t="str">
        <f t="shared" si="12"/>
        <v> </v>
      </c>
      <c r="D133" s="171" t="str">
        <f t="shared" si="13"/>
        <v> </v>
      </c>
      <c r="E133" s="172" t="str">
        <f t="shared" si="14"/>
        <v> </v>
      </c>
      <c r="F133" s="171"/>
      <c r="G133" s="172" t="str">
        <f t="shared" si="10"/>
        <v> </v>
      </c>
      <c r="H133" s="50"/>
      <c r="I133" s="50"/>
      <c r="J133" s="162"/>
      <c r="L133" s="170"/>
    </row>
    <row r="134" spans="1:12" ht="10.5" customHeight="1">
      <c r="A134" s="162"/>
      <c r="B134" s="159" t="str">
        <f t="shared" si="11"/>
        <v> </v>
      </c>
      <c r="C134" s="159" t="str">
        <f t="shared" si="12"/>
        <v> </v>
      </c>
      <c r="D134" s="171" t="str">
        <f t="shared" si="13"/>
        <v> </v>
      </c>
      <c r="E134" s="172" t="str">
        <f t="shared" si="14"/>
        <v> </v>
      </c>
      <c r="F134" s="171"/>
      <c r="G134" s="172" t="str">
        <f t="shared" si="10"/>
        <v> </v>
      </c>
      <c r="H134" s="50"/>
      <c r="I134" s="50"/>
      <c r="J134" s="162"/>
      <c r="L134" s="170"/>
    </row>
    <row r="135" spans="1:12" ht="10.5" customHeight="1">
      <c r="A135" s="165"/>
      <c r="B135" s="173" t="str">
        <f t="shared" si="11"/>
        <v> </v>
      </c>
      <c r="C135" s="173" t="str">
        <f t="shared" si="12"/>
        <v> </v>
      </c>
      <c r="D135" s="174" t="str">
        <f t="shared" si="13"/>
        <v> </v>
      </c>
      <c r="E135" s="175" t="str">
        <f t="shared" si="14"/>
        <v> </v>
      </c>
      <c r="F135" s="174"/>
      <c r="G135" s="175" t="str">
        <f aca="true" t="shared" si="15" ref="G135:G140">IF(B135=" "," ",D135+E135)</f>
        <v> </v>
      </c>
      <c r="H135" s="50"/>
      <c r="I135" s="50"/>
      <c r="J135" s="162"/>
      <c r="L135" s="170"/>
    </row>
    <row r="136" spans="1:12" ht="10.5" customHeight="1">
      <c r="A136" s="169"/>
      <c r="B136" s="176" t="str">
        <f t="shared" si="11"/>
        <v> </v>
      </c>
      <c r="C136" s="176" t="str">
        <f t="shared" si="12"/>
        <v> </v>
      </c>
      <c r="D136" s="177" t="str">
        <f t="shared" si="13"/>
        <v> </v>
      </c>
      <c r="E136" s="178" t="str">
        <f t="shared" si="14"/>
        <v> </v>
      </c>
      <c r="F136" s="177"/>
      <c r="G136" s="178" t="str">
        <f t="shared" si="15"/>
        <v> </v>
      </c>
      <c r="H136" s="50"/>
      <c r="I136" s="50"/>
      <c r="J136" s="162"/>
      <c r="L136" s="170"/>
    </row>
    <row r="137" spans="1:12" ht="10.5" customHeight="1">
      <c r="A137" s="169"/>
      <c r="B137" s="176" t="str">
        <f>IF(B136&lt;retage-1,B136+1," ")</f>
        <v> </v>
      </c>
      <c r="C137" s="176" t="str">
        <f>IF(B137=" "," ",C136+1)</f>
        <v> </v>
      </c>
      <c r="D137" s="177" t="str">
        <f>IF(B137=" "," ",D136*(1+inflation))</f>
        <v> </v>
      </c>
      <c r="E137" s="178" t="str">
        <f>IF(B137=" "," ",E136*(1+inflation))</f>
        <v> </v>
      </c>
      <c r="F137" s="177"/>
      <c r="G137" s="178" t="str">
        <f t="shared" si="15"/>
        <v> </v>
      </c>
      <c r="H137" s="50"/>
      <c r="I137" s="50"/>
      <c r="J137" s="162"/>
      <c r="L137" s="170"/>
    </row>
    <row r="138" spans="1:12" ht="10.5" customHeight="1">
      <c r="A138" s="169"/>
      <c r="B138" s="176" t="str">
        <f>IF(B137&lt;retage-1,B137+1," ")</f>
        <v> </v>
      </c>
      <c r="C138" s="176" t="str">
        <f>IF(B138=" "," ",C137+1)</f>
        <v> </v>
      </c>
      <c r="D138" s="177" t="str">
        <f>IF(B138=" "," ",D137*(1+inflation))</f>
        <v> </v>
      </c>
      <c r="E138" s="178" t="str">
        <f>IF(B138=" "," ",E137*(1+inflation))</f>
        <v> </v>
      </c>
      <c r="F138" s="177"/>
      <c r="G138" s="178" t="str">
        <f t="shared" si="15"/>
        <v> </v>
      </c>
      <c r="H138" s="50"/>
      <c r="I138" s="50"/>
      <c r="J138" s="162"/>
      <c r="L138" s="170"/>
    </row>
    <row r="139" spans="1:12" ht="10.5" customHeight="1">
      <c r="A139" s="169"/>
      <c r="B139" s="176" t="str">
        <f>IF(B138&lt;retage-1,B138+1," ")</f>
        <v> </v>
      </c>
      <c r="C139" s="176" t="str">
        <f>IF(B139=" "," ",C138+1)</f>
        <v> </v>
      </c>
      <c r="D139" s="177" t="str">
        <f>IF(B139=" "," ",D138*(1+inflation))</f>
        <v> </v>
      </c>
      <c r="E139" s="178" t="str">
        <f>IF(B139=" "," ",E138*(1+inflation))</f>
        <v> </v>
      </c>
      <c r="F139" s="177"/>
      <c r="G139" s="178" t="str">
        <f t="shared" si="15"/>
        <v> </v>
      </c>
      <c r="H139" s="50"/>
      <c r="I139" s="50"/>
      <c r="J139" s="162"/>
      <c r="L139" s="170"/>
    </row>
    <row r="140" spans="1:12" ht="10.5" customHeight="1">
      <c r="A140" s="165"/>
      <c r="B140" s="173" t="str">
        <f>IF(B139&lt;retage-1,B139+1," ")</f>
        <v> </v>
      </c>
      <c r="C140" s="173" t="str">
        <f>IF(B140=" "," ",C139+1)</f>
        <v> </v>
      </c>
      <c r="D140" s="174" t="str">
        <f>IF(B140=" "," ",D139*(1+inflation))</f>
        <v> </v>
      </c>
      <c r="E140" s="175" t="str">
        <f>IF(B140=" "," ",E139*(1+inflation))</f>
        <v> </v>
      </c>
      <c r="F140" s="174"/>
      <c r="G140" s="175" t="str">
        <f t="shared" si="15"/>
        <v> </v>
      </c>
      <c r="H140" s="50"/>
      <c r="I140" s="50"/>
      <c r="J140" s="162"/>
      <c r="L140" s="170"/>
    </row>
    <row r="141" spans="1:12" ht="10.5" customHeight="1">
      <c r="A141" s="162"/>
      <c r="B141" s="155"/>
      <c r="C141" s="155"/>
      <c r="D141" s="171"/>
      <c r="E141" s="172"/>
      <c r="F141" s="179"/>
      <c r="G141" s="172"/>
      <c r="H141" s="50"/>
      <c r="I141" s="50"/>
      <c r="J141" s="162"/>
      <c r="L141" s="170"/>
    </row>
    <row r="142" spans="1:12" ht="10.5" customHeight="1">
      <c r="A142" s="162"/>
      <c r="B142" s="180"/>
      <c r="C142" s="180"/>
      <c r="D142" s="181"/>
      <c r="E142" s="180"/>
      <c r="F142" s="180"/>
      <c r="G142" s="182"/>
      <c r="H142" s="182"/>
      <c r="I142" s="182"/>
      <c r="J142" s="183"/>
      <c r="L142" s="170"/>
    </row>
    <row r="143" spans="1:12" ht="10.5" customHeight="1">
      <c r="A143" s="113">
        <f>A80+0.01</f>
        <v>4.029999999999999</v>
      </c>
      <c r="B143" s="184" t="s">
        <v>144</v>
      </c>
      <c r="C143" s="180"/>
      <c r="D143" s="181"/>
      <c r="E143" s="180"/>
      <c r="F143" s="180"/>
      <c r="G143" s="182"/>
      <c r="H143" s="182"/>
      <c r="I143" s="182"/>
      <c r="J143" s="153"/>
      <c r="K143" s="154" t="s">
        <v>88</v>
      </c>
      <c r="L143" s="105">
        <f ca="1">TODAY()</f>
        <v>45271</v>
      </c>
    </row>
    <row r="144" spans="1:14" ht="10.5" customHeight="1" thickBot="1">
      <c r="A144" s="113"/>
      <c r="B144" s="184"/>
      <c r="C144" s="180"/>
      <c r="D144" s="181"/>
      <c r="E144" s="185"/>
      <c r="F144" s="185"/>
      <c r="G144" s="186"/>
      <c r="H144" s="186"/>
      <c r="I144" s="186"/>
      <c r="J144" s="187"/>
      <c r="K144" s="188"/>
      <c r="L144" s="189"/>
      <c r="M144" s="187"/>
      <c r="N144" s="187"/>
    </row>
    <row r="145" spans="1:14" ht="10.5" customHeight="1">
      <c r="A145" s="162"/>
      <c r="B145" s="183"/>
      <c r="C145" s="183"/>
      <c r="D145" s="190"/>
      <c r="E145" s="191" t="s">
        <v>145</v>
      </c>
      <c r="F145" s="192"/>
      <c r="G145" s="193"/>
      <c r="H145" s="194"/>
      <c r="I145" s="194"/>
      <c r="J145" s="195" t="s">
        <v>146</v>
      </c>
      <c r="K145" s="195"/>
      <c r="L145" s="196"/>
      <c r="M145" s="194"/>
      <c r="N145" s="197" t="s">
        <v>147</v>
      </c>
    </row>
    <row r="146" spans="1:14" ht="10.5" customHeight="1">
      <c r="A146" s="162"/>
      <c r="B146" s="183" t="s">
        <v>138</v>
      </c>
      <c r="C146" s="190"/>
      <c r="D146" s="198" t="s">
        <v>148</v>
      </c>
      <c r="E146" s="199" t="s">
        <v>149</v>
      </c>
      <c r="F146" s="44"/>
      <c r="G146" s="200" t="s">
        <v>150</v>
      </c>
      <c r="H146" s="44"/>
      <c r="I146" s="44"/>
      <c r="J146" s="200" t="s">
        <v>151</v>
      </c>
      <c r="K146" s="53"/>
      <c r="L146" s="200" t="s">
        <v>138</v>
      </c>
      <c r="M146" s="44"/>
      <c r="N146" s="201" t="s">
        <v>152</v>
      </c>
    </row>
    <row r="147" spans="1:14" ht="10.5" customHeight="1">
      <c r="A147" s="162"/>
      <c r="B147" s="202" t="s">
        <v>139</v>
      </c>
      <c r="C147" s="203" t="s">
        <v>140</v>
      </c>
      <c r="D147" s="204" t="s">
        <v>153</v>
      </c>
      <c r="E147" s="205" t="s">
        <v>154</v>
      </c>
      <c r="F147" s="44"/>
      <c r="G147" s="206" t="s">
        <v>155</v>
      </c>
      <c r="H147" s="44"/>
      <c r="I147" s="44"/>
      <c r="J147" s="206" t="s">
        <v>156</v>
      </c>
      <c r="K147" s="53"/>
      <c r="L147" s="206" t="s">
        <v>157</v>
      </c>
      <c r="M147" s="44"/>
      <c r="N147" s="207" t="s">
        <v>158</v>
      </c>
    </row>
    <row r="148" spans="1:15" ht="10.5" customHeight="1">
      <c r="A148" s="162"/>
      <c r="B148" s="183" t="s">
        <v>159</v>
      </c>
      <c r="C148" s="190" t="s">
        <v>160</v>
      </c>
      <c r="D148" s="198" t="s">
        <v>161</v>
      </c>
      <c r="E148" s="199" t="s">
        <v>162</v>
      </c>
      <c r="F148" s="208"/>
      <c r="G148" s="200" t="s">
        <v>163</v>
      </c>
      <c r="H148" s="208"/>
      <c r="I148" s="208"/>
      <c r="J148" s="200" t="s">
        <v>164</v>
      </c>
      <c r="K148" s="209"/>
      <c r="L148" s="200" t="s">
        <v>165</v>
      </c>
      <c r="M148" s="208"/>
      <c r="N148" s="201" t="s">
        <v>166</v>
      </c>
      <c r="O148" s="155"/>
    </row>
    <row r="149" spans="1:14" ht="10.5" customHeight="1">
      <c r="A149" s="165"/>
      <c r="B149" s="210"/>
      <c r="C149" s="210"/>
      <c r="D149" s="211"/>
      <c r="E149" s="212"/>
      <c r="F149" s="210"/>
      <c r="G149" s="213"/>
      <c r="H149" s="214"/>
      <c r="I149" s="213"/>
      <c r="J149" s="214"/>
      <c r="K149" s="166"/>
      <c r="L149" s="215"/>
      <c r="M149" s="166"/>
      <c r="N149" s="216"/>
    </row>
    <row r="150" spans="1:14" ht="10.5" customHeight="1">
      <c r="A150" s="162"/>
      <c r="B150" s="183">
        <f>currentage</f>
        <v>35</v>
      </c>
      <c r="C150" s="190">
        <f>currentyr</f>
        <v>2024</v>
      </c>
      <c r="D150" s="217">
        <f aca="true" t="shared" si="16" ref="D150:D181">IF(B150=" "," ",G86)</f>
        <v>40000</v>
      </c>
      <c r="E150" s="199">
        <f>retsavings</f>
        <v>30000</v>
      </c>
      <c r="F150" s="218"/>
      <c r="G150" s="200">
        <f>IF(B150=" "," ",preretyield*E150)</f>
        <v>2100</v>
      </c>
      <c r="H150" s="218"/>
      <c r="I150" s="219"/>
      <c r="J150" s="200">
        <f aca="true" t="shared" si="17" ref="J150:J181">IF(B150=" "," ",requiredeesavingsrate*G86)</f>
        <v>3195.3181764255787</v>
      </c>
      <c r="K150" s="218"/>
      <c r="L150" s="200">
        <f aca="true" t="shared" si="18" ref="L150:L181">IF(B150=" "," ",employercontribution*G86)</f>
        <v>800</v>
      </c>
      <c r="M150" s="218"/>
      <c r="N150" s="201">
        <f>IF(B150=" "," ",E150+G150+J150+L150)</f>
        <v>36095.31817642558</v>
      </c>
    </row>
    <row r="151" spans="1:14" ht="10.5" customHeight="1">
      <c r="A151" s="162"/>
      <c r="B151" s="183">
        <f>IF(B150&lt;retage-1,B150+1," ")</f>
        <v>36</v>
      </c>
      <c r="C151" s="220">
        <f>IF(B151=" "," ",C150+1)</f>
        <v>2025</v>
      </c>
      <c r="D151" s="217">
        <f t="shared" si="16"/>
        <v>41399.99999999999</v>
      </c>
      <c r="E151" s="199">
        <f>IF(B151=" "," ",N150)</f>
        <v>36095.31817642558</v>
      </c>
      <c r="F151" s="218"/>
      <c r="G151" s="200">
        <f aca="true" t="shared" si="19" ref="G151:G166">IF(B151=" "," ",preretyield*E151)</f>
        <v>2526.6722723497905</v>
      </c>
      <c r="H151" s="219"/>
      <c r="I151" s="219"/>
      <c r="J151" s="200">
        <f t="shared" si="17"/>
        <v>3307.1543126004735</v>
      </c>
      <c r="K151" s="218"/>
      <c r="L151" s="200">
        <f t="shared" si="18"/>
        <v>827.9999999999999</v>
      </c>
      <c r="M151" s="218"/>
      <c r="N151" s="201">
        <f aca="true" t="shared" si="20" ref="N151:N166">IF(B151=" "," ",E151+G151+J151+L151)</f>
        <v>42757.14476137584</v>
      </c>
    </row>
    <row r="152" spans="1:14" ht="10.5" customHeight="1">
      <c r="A152" s="162"/>
      <c r="B152" s="183">
        <f aca="true" t="shared" si="21" ref="B152:B167">IF(B151&lt;retage-1,B151+1," ")</f>
        <v>37</v>
      </c>
      <c r="C152" s="220">
        <f aca="true" t="shared" si="22" ref="C152:C167">IF(B152=" "," ",C151+1)</f>
        <v>2026</v>
      </c>
      <c r="D152" s="217">
        <f t="shared" si="16"/>
        <v>42848.999999999985</v>
      </c>
      <c r="E152" s="199">
        <f aca="true" t="shared" si="23" ref="E152:E167">IF(B152=" "," ",N151)</f>
        <v>42757.14476137584</v>
      </c>
      <c r="F152" s="218"/>
      <c r="G152" s="200">
        <f t="shared" si="19"/>
        <v>2993.0001332963093</v>
      </c>
      <c r="H152" s="219"/>
      <c r="I152" s="219"/>
      <c r="J152" s="200">
        <f t="shared" si="17"/>
        <v>3422.9047135414894</v>
      </c>
      <c r="K152" s="218"/>
      <c r="L152" s="200">
        <f t="shared" si="18"/>
        <v>856.9799999999997</v>
      </c>
      <c r="M152" s="218"/>
      <c r="N152" s="201">
        <f t="shared" si="20"/>
        <v>50030.02960821364</v>
      </c>
    </row>
    <row r="153" spans="1:14" ht="10.5" customHeight="1">
      <c r="A153" s="162"/>
      <c r="B153" s="183">
        <f t="shared" si="21"/>
        <v>38</v>
      </c>
      <c r="C153" s="220">
        <f t="shared" si="22"/>
        <v>2027</v>
      </c>
      <c r="D153" s="217">
        <f t="shared" si="16"/>
        <v>44348.71499999998</v>
      </c>
      <c r="E153" s="199">
        <f t="shared" si="23"/>
        <v>50030.02960821364</v>
      </c>
      <c r="F153" s="218"/>
      <c r="G153" s="200">
        <f t="shared" si="19"/>
        <v>3502.1020725749554</v>
      </c>
      <c r="H153" s="219"/>
      <c r="I153" s="219"/>
      <c r="J153" s="200">
        <f t="shared" si="17"/>
        <v>3542.7063785154414</v>
      </c>
      <c r="K153" s="218"/>
      <c r="L153" s="200">
        <f t="shared" si="18"/>
        <v>886.9742999999996</v>
      </c>
      <c r="M153" s="218"/>
      <c r="N153" s="201">
        <f t="shared" si="20"/>
        <v>57961.81235930404</v>
      </c>
    </row>
    <row r="154" spans="1:14" ht="10.5" customHeight="1">
      <c r="A154" s="165"/>
      <c r="B154" s="214">
        <f t="shared" si="21"/>
        <v>39</v>
      </c>
      <c r="C154" s="221">
        <f t="shared" si="22"/>
        <v>2028</v>
      </c>
      <c r="D154" s="222">
        <f t="shared" si="16"/>
        <v>45900.920024999985</v>
      </c>
      <c r="E154" s="223">
        <f t="shared" si="23"/>
        <v>57961.81235930404</v>
      </c>
      <c r="F154" s="210"/>
      <c r="G154" s="213">
        <f t="shared" si="19"/>
        <v>4057.326865151283</v>
      </c>
      <c r="H154" s="224"/>
      <c r="I154" s="224"/>
      <c r="J154" s="213">
        <f t="shared" si="17"/>
        <v>3666.7011017634823</v>
      </c>
      <c r="K154" s="210"/>
      <c r="L154" s="213">
        <f t="shared" si="18"/>
        <v>918.0184004999998</v>
      </c>
      <c r="M154" s="210"/>
      <c r="N154" s="225">
        <f t="shared" si="20"/>
        <v>66603.85872671881</v>
      </c>
    </row>
    <row r="155" spans="1:14" ht="10.5" customHeight="1">
      <c r="A155" s="162"/>
      <c r="B155" s="183">
        <f t="shared" si="21"/>
        <v>40</v>
      </c>
      <c r="C155" s="220">
        <f t="shared" si="22"/>
        <v>2029</v>
      </c>
      <c r="D155" s="217">
        <f t="shared" si="16"/>
        <v>47507.45222587498</v>
      </c>
      <c r="E155" s="199">
        <f t="shared" si="23"/>
        <v>66603.85872671881</v>
      </c>
      <c r="F155" s="218"/>
      <c r="G155" s="200">
        <f t="shared" si="19"/>
        <v>4662.270110870318</v>
      </c>
      <c r="H155" s="219"/>
      <c r="I155" s="219"/>
      <c r="J155" s="200">
        <f t="shared" si="17"/>
        <v>3795.0356403252035</v>
      </c>
      <c r="K155" s="218"/>
      <c r="L155" s="200">
        <f t="shared" si="18"/>
        <v>950.1490445174995</v>
      </c>
      <c r="M155" s="218"/>
      <c r="N155" s="201">
        <f t="shared" si="20"/>
        <v>76011.31352243184</v>
      </c>
    </row>
    <row r="156" spans="1:14" ht="10.5" customHeight="1">
      <c r="A156" s="162"/>
      <c r="B156" s="183">
        <f t="shared" si="21"/>
        <v>41</v>
      </c>
      <c r="C156" s="220">
        <f t="shared" si="22"/>
        <v>2030</v>
      </c>
      <c r="D156" s="217">
        <f t="shared" si="16"/>
        <v>49170.21305378059</v>
      </c>
      <c r="E156" s="199">
        <f t="shared" si="23"/>
        <v>76011.31352243184</v>
      </c>
      <c r="F156" s="218"/>
      <c r="G156" s="200">
        <f t="shared" si="19"/>
        <v>5320.791946570229</v>
      </c>
      <c r="H156" s="219"/>
      <c r="I156" s="219"/>
      <c r="J156" s="200">
        <f t="shared" si="17"/>
        <v>3927.8618877365852</v>
      </c>
      <c r="K156" s="218"/>
      <c r="L156" s="200">
        <f t="shared" si="18"/>
        <v>983.4042610756119</v>
      </c>
      <c r="M156" s="218"/>
      <c r="N156" s="201">
        <f t="shared" si="20"/>
        <v>86243.37161781426</v>
      </c>
    </row>
    <row r="157" spans="1:14" ht="10.5" customHeight="1">
      <c r="A157" s="162"/>
      <c r="B157" s="183">
        <f t="shared" si="21"/>
        <v>42</v>
      </c>
      <c r="C157" s="220">
        <f t="shared" si="22"/>
        <v>2031</v>
      </c>
      <c r="D157" s="217">
        <f t="shared" si="16"/>
        <v>50891.17051066291</v>
      </c>
      <c r="E157" s="199">
        <f t="shared" si="23"/>
        <v>86243.37161781426</v>
      </c>
      <c r="F157" s="218"/>
      <c r="G157" s="200">
        <f t="shared" si="19"/>
        <v>6037.036013246999</v>
      </c>
      <c r="H157" s="219"/>
      <c r="I157" s="219"/>
      <c r="J157" s="200">
        <f t="shared" si="17"/>
        <v>4065.337053807365</v>
      </c>
      <c r="K157" s="218"/>
      <c r="L157" s="200">
        <f t="shared" si="18"/>
        <v>1017.8234102132582</v>
      </c>
      <c r="M157" s="218"/>
      <c r="N157" s="201">
        <f t="shared" si="20"/>
        <v>97363.56809508188</v>
      </c>
    </row>
    <row r="158" spans="1:14" ht="10.5" customHeight="1">
      <c r="A158" s="162"/>
      <c r="B158" s="183">
        <f t="shared" si="21"/>
        <v>43</v>
      </c>
      <c r="C158" s="220">
        <f t="shared" si="22"/>
        <v>2032</v>
      </c>
      <c r="D158" s="217">
        <f t="shared" si="16"/>
        <v>52672.36147853611</v>
      </c>
      <c r="E158" s="199">
        <f t="shared" si="23"/>
        <v>97363.56809508188</v>
      </c>
      <c r="F158" s="218"/>
      <c r="G158" s="200">
        <f t="shared" si="19"/>
        <v>6815.449766655732</v>
      </c>
      <c r="H158" s="219"/>
      <c r="I158" s="219"/>
      <c r="J158" s="200">
        <f t="shared" si="17"/>
        <v>4207.623850690623</v>
      </c>
      <c r="K158" s="218"/>
      <c r="L158" s="200">
        <f t="shared" si="18"/>
        <v>1053.4472295707224</v>
      </c>
      <c r="M158" s="218"/>
      <c r="N158" s="201">
        <f t="shared" si="20"/>
        <v>109440.08894199895</v>
      </c>
    </row>
    <row r="159" spans="1:14" ht="10.5" customHeight="1">
      <c r="A159" s="165"/>
      <c r="B159" s="214">
        <f t="shared" si="21"/>
        <v>44</v>
      </c>
      <c r="C159" s="221">
        <f t="shared" si="22"/>
        <v>2033</v>
      </c>
      <c r="D159" s="222">
        <f t="shared" si="16"/>
        <v>54515.89413028487</v>
      </c>
      <c r="E159" s="223">
        <f t="shared" si="23"/>
        <v>109440.08894199895</v>
      </c>
      <c r="F159" s="210"/>
      <c r="G159" s="213">
        <f t="shared" si="19"/>
        <v>7660.806225939928</v>
      </c>
      <c r="H159" s="224"/>
      <c r="I159" s="224"/>
      <c r="J159" s="213">
        <f t="shared" si="17"/>
        <v>4354.890685464794</v>
      </c>
      <c r="K159" s="210"/>
      <c r="L159" s="213">
        <f t="shared" si="18"/>
        <v>1090.3178826056974</v>
      </c>
      <c r="M159" s="210"/>
      <c r="N159" s="225">
        <f t="shared" si="20"/>
        <v>122546.10373600938</v>
      </c>
    </row>
    <row r="160" spans="1:14" ht="10.5" customHeight="1">
      <c r="A160" s="162"/>
      <c r="B160" s="183">
        <f t="shared" si="21"/>
        <v>45</v>
      </c>
      <c r="C160" s="220">
        <f t="shared" si="22"/>
        <v>2034</v>
      </c>
      <c r="D160" s="217">
        <f t="shared" si="16"/>
        <v>56423.950424844836</v>
      </c>
      <c r="E160" s="199">
        <f t="shared" si="23"/>
        <v>122546.10373600938</v>
      </c>
      <c r="F160" s="218"/>
      <c r="G160" s="200">
        <f t="shared" si="19"/>
        <v>8578.227261520657</v>
      </c>
      <c r="H160" s="219"/>
      <c r="I160" s="219"/>
      <c r="J160" s="200">
        <f t="shared" si="17"/>
        <v>4507.311859456062</v>
      </c>
      <c r="K160" s="218"/>
      <c r="L160" s="200">
        <f t="shared" si="18"/>
        <v>1128.4790084968968</v>
      </c>
      <c r="M160" s="218"/>
      <c r="N160" s="201">
        <f t="shared" si="20"/>
        <v>136760.12186548297</v>
      </c>
    </row>
    <row r="161" spans="1:14" ht="10.5" customHeight="1">
      <c r="A161" s="162"/>
      <c r="B161" s="183">
        <f t="shared" si="21"/>
        <v>46</v>
      </c>
      <c r="C161" s="220">
        <f t="shared" si="22"/>
        <v>2035</v>
      </c>
      <c r="D161" s="217">
        <f t="shared" si="16"/>
        <v>58398.788689714405</v>
      </c>
      <c r="E161" s="199">
        <f t="shared" si="23"/>
        <v>136760.12186548297</v>
      </c>
      <c r="F161" s="218"/>
      <c r="G161" s="200">
        <f t="shared" si="19"/>
        <v>9573.208530583808</v>
      </c>
      <c r="H161" s="219"/>
      <c r="I161" s="219"/>
      <c r="J161" s="200">
        <f t="shared" si="17"/>
        <v>4665.067774537024</v>
      </c>
      <c r="K161" s="218"/>
      <c r="L161" s="200">
        <f t="shared" si="18"/>
        <v>1167.9757737942882</v>
      </c>
      <c r="M161" s="218"/>
      <c r="N161" s="201">
        <f t="shared" si="20"/>
        <v>152166.37394439807</v>
      </c>
    </row>
    <row r="162" spans="1:14" ht="10.5" customHeight="1">
      <c r="A162" s="162"/>
      <c r="B162" s="183">
        <f t="shared" si="21"/>
        <v>47</v>
      </c>
      <c r="C162" s="220">
        <f t="shared" si="22"/>
        <v>2036</v>
      </c>
      <c r="D162" s="217">
        <f t="shared" si="16"/>
        <v>60442.7462938544</v>
      </c>
      <c r="E162" s="199">
        <f t="shared" si="23"/>
        <v>152166.37394439807</v>
      </c>
      <c r="F162" s="218"/>
      <c r="G162" s="200">
        <f t="shared" si="19"/>
        <v>10651.646176107866</v>
      </c>
      <c r="H162" s="219"/>
      <c r="I162" s="219"/>
      <c r="J162" s="200">
        <f t="shared" si="17"/>
        <v>4828.345146645819</v>
      </c>
      <c r="K162" s="218"/>
      <c r="L162" s="200">
        <f t="shared" si="18"/>
        <v>1208.854925877088</v>
      </c>
      <c r="M162" s="218"/>
      <c r="N162" s="201">
        <f t="shared" si="20"/>
        <v>168855.22019302886</v>
      </c>
    </row>
    <row r="163" spans="1:14" ht="10.5" customHeight="1">
      <c r="A163" s="162"/>
      <c r="B163" s="183">
        <f t="shared" si="21"/>
        <v>48</v>
      </c>
      <c r="C163" s="220">
        <f t="shared" si="22"/>
        <v>2037</v>
      </c>
      <c r="D163" s="217">
        <f t="shared" si="16"/>
        <v>62558.2424141393</v>
      </c>
      <c r="E163" s="199">
        <f t="shared" si="23"/>
        <v>168855.22019302886</v>
      </c>
      <c r="F163" s="218"/>
      <c r="G163" s="200">
        <f t="shared" si="19"/>
        <v>11819.865413512021</v>
      </c>
      <c r="H163" s="219"/>
      <c r="I163" s="219"/>
      <c r="J163" s="200">
        <f t="shared" si="17"/>
        <v>4997.3372267784225</v>
      </c>
      <c r="K163" s="218"/>
      <c r="L163" s="200">
        <f t="shared" si="18"/>
        <v>1251.164848282786</v>
      </c>
      <c r="M163" s="218"/>
      <c r="N163" s="201">
        <f t="shared" si="20"/>
        <v>186923.58768160208</v>
      </c>
    </row>
    <row r="164" spans="1:14" ht="10.5" customHeight="1">
      <c r="A164" s="165"/>
      <c r="B164" s="214">
        <f t="shared" si="21"/>
        <v>49</v>
      </c>
      <c r="C164" s="221">
        <f t="shared" si="22"/>
        <v>2038</v>
      </c>
      <c r="D164" s="222">
        <f t="shared" si="16"/>
        <v>64747.78089863416</v>
      </c>
      <c r="E164" s="223">
        <f t="shared" si="23"/>
        <v>186923.58768160208</v>
      </c>
      <c r="F164" s="210"/>
      <c r="G164" s="213">
        <f t="shared" si="19"/>
        <v>13084.651137712146</v>
      </c>
      <c r="H164" s="224"/>
      <c r="I164" s="224"/>
      <c r="J164" s="213">
        <f t="shared" si="17"/>
        <v>5172.244029715666</v>
      </c>
      <c r="K164" s="210"/>
      <c r="L164" s="213">
        <f t="shared" si="18"/>
        <v>1294.9556179726833</v>
      </c>
      <c r="M164" s="210"/>
      <c r="N164" s="225">
        <f t="shared" si="20"/>
        <v>206475.43846700256</v>
      </c>
    </row>
    <row r="165" spans="1:14" ht="10.5" customHeight="1">
      <c r="A165" s="162"/>
      <c r="B165" s="183">
        <f t="shared" si="21"/>
        <v>50</v>
      </c>
      <c r="C165" s="220">
        <f t="shared" si="22"/>
        <v>2039</v>
      </c>
      <c r="D165" s="217">
        <f t="shared" si="16"/>
        <v>67013.95323008636</v>
      </c>
      <c r="E165" s="199">
        <f t="shared" si="23"/>
        <v>206475.43846700256</v>
      </c>
      <c r="F165" s="218"/>
      <c r="G165" s="200">
        <f t="shared" si="19"/>
        <v>14453.280692690181</v>
      </c>
      <c r="H165" s="219"/>
      <c r="I165" s="219"/>
      <c r="J165" s="200">
        <f t="shared" si="17"/>
        <v>5353.272570755715</v>
      </c>
      <c r="K165" s="218"/>
      <c r="L165" s="200">
        <f t="shared" si="18"/>
        <v>1340.2790646017272</v>
      </c>
      <c r="M165" s="218"/>
      <c r="N165" s="201">
        <f t="shared" si="20"/>
        <v>227622.27079505016</v>
      </c>
    </row>
    <row r="166" spans="1:14" ht="10.5" customHeight="1">
      <c r="A166" s="162"/>
      <c r="B166" s="183">
        <f t="shared" si="21"/>
        <v>51</v>
      </c>
      <c r="C166" s="220">
        <f t="shared" si="22"/>
        <v>2040</v>
      </c>
      <c r="D166" s="217">
        <f t="shared" si="16"/>
        <v>69359.44159313937</v>
      </c>
      <c r="E166" s="199">
        <f t="shared" si="23"/>
        <v>227622.27079505016</v>
      </c>
      <c r="F166" s="218"/>
      <c r="G166" s="200">
        <f t="shared" si="19"/>
        <v>15933.558955653512</v>
      </c>
      <c r="H166" s="219"/>
      <c r="I166" s="219"/>
      <c r="J166" s="200">
        <f t="shared" si="17"/>
        <v>5540.637110732164</v>
      </c>
      <c r="K166" s="218"/>
      <c r="L166" s="200">
        <f t="shared" si="18"/>
        <v>1387.1888318627875</v>
      </c>
      <c r="M166" s="218"/>
      <c r="N166" s="201">
        <f t="shared" si="20"/>
        <v>250483.65569329864</v>
      </c>
    </row>
    <row r="167" spans="1:14" ht="10.5" customHeight="1">
      <c r="A167" s="162"/>
      <c r="B167" s="183">
        <f t="shared" si="21"/>
        <v>52</v>
      </c>
      <c r="C167" s="220">
        <f t="shared" si="22"/>
        <v>2041</v>
      </c>
      <c r="D167" s="217">
        <f t="shared" si="16"/>
        <v>71787.02204889925</v>
      </c>
      <c r="E167" s="199">
        <f t="shared" si="23"/>
        <v>250483.65569329864</v>
      </c>
      <c r="F167" s="218"/>
      <c r="G167" s="200">
        <f aca="true" t="shared" si="24" ref="G167:G182">IF(B167=" "," ",preretyield*E167)</f>
        <v>17533.855898530906</v>
      </c>
      <c r="H167" s="219"/>
      <c r="I167" s="219"/>
      <c r="J167" s="200">
        <f t="shared" si="17"/>
        <v>5734.559409607789</v>
      </c>
      <c r="K167" s="218"/>
      <c r="L167" s="200">
        <f t="shared" si="18"/>
        <v>1435.740440977985</v>
      </c>
      <c r="M167" s="218"/>
      <c r="N167" s="201">
        <f aca="true" t="shared" si="25" ref="N167:N182">IF(B167=" "," ",E167+G167+J167+L167)</f>
        <v>275187.8114424153</v>
      </c>
    </row>
    <row r="168" spans="1:14" ht="10.5" customHeight="1">
      <c r="A168" s="162"/>
      <c r="B168" s="183">
        <f aca="true" t="shared" si="26" ref="B168:B183">IF(B167&lt;retage-1,B167+1," ")</f>
        <v>53</v>
      </c>
      <c r="C168" s="220">
        <f aca="true" t="shared" si="27" ref="C168:C183">IF(B168=" "," ",C167+1)</f>
        <v>2042</v>
      </c>
      <c r="D168" s="217">
        <f t="shared" si="16"/>
        <v>74299.56782061073</v>
      </c>
      <c r="E168" s="199">
        <f aca="true" t="shared" si="28" ref="E168:E183">IF(B168=" "," ",N167)</f>
        <v>275187.8114424153</v>
      </c>
      <c r="F168" s="218"/>
      <c r="G168" s="200">
        <f t="shared" si="24"/>
        <v>19263.146800969073</v>
      </c>
      <c r="H168" s="219"/>
      <c r="I168" s="219"/>
      <c r="J168" s="200">
        <f t="shared" si="17"/>
        <v>5935.268988944063</v>
      </c>
      <c r="K168" s="218"/>
      <c r="L168" s="200">
        <f t="shared" si="18"/>
        <v>1485.9913564122146</v>
      </c>
      <c r="M168" s="218"/>
      <c r="N168" s="201">
        <f t="shared" si="25"/>
        <v>301872.2185887407</v>
      </c>
    </row>
    <row r="169" spans="1:14" ht="10.5" customHeight="1">
      <c r="A169" s="165"/>
      <c r="B169" s="214">
        <f t="shared" si="26"/>
        <v>54</v>
      </c>
      <c r="C169" s="221">
        <f t="shared" si="27"/>
        <v>2043</v>
      </c>
      <c r="D169" s="222">
        <f t="shared" si="16"/>
        <v>76900.05269433209</v>
      </c>
      <c r="E169" s="223">
        <f t="shared" si="28"/>
        <v>301872.2185887407</v>
      </c>
      <c r="F169" s="210"/>
      <c r="G169" s="213">
        <f t="shared" si="24"/>
        <v>21131.05530121185</v>
      </c>
      <c r="H169" s="224"/>
      <c r="I169" s="224"/>
      <c r="J169" s="213">
        <f t="shared" si="17"/>
        <v>6143.003403557103</v>
      </c>
      <c r="K169" s="210"/>
      <c r="L169" s="213">
        <f t="shared" si="18"/>
        <v>1538.0010538866418</v>
      </c>
      <c r="M169" s="210"/>
      <c r="N169" s="225">
        <f t="shared" si="25"/>
        <v>330684.2783473963</v>
      </c>
    </row>
    <row r="170" spans="1:14" ht="10.5" customHeight="1">
      <c r="A170" s="162"/>
      <c r="B170" s="183">
        <f t="shared" si="26"/>
        <v>55</v>
      </c>
      <c r="C170" s="220">
        <f t="shared" si="27"/>
        <v>2044</v>
      </c>
      <c r="D170" s="217">
        <f t="shared" si="16"/>
        <v>79591.5545386337</v>
      </c>
      <c r="E170" s="199">
        <f t="shared" si="28"/>
        <v>330684.2783473963</v>
      </c>
      <c r="F170" s="218"/>
      <c r="G170" s="200">
        <f t="shared" si="24"/>
        <v>23147.899484317742</v>
      </c>
      <c r="H170" s="219"/>
      <c r="I170" s="219"/>
      <c r="J170" s="200">
        <f t="shared" si="17"/>
        <v>6358.008522681602</v>
      </c>
      <c r="K170" s="218"/>
      <c r="L170" s="200">
        <f t="shared" si="18"/>
        <v>1591.831090772674</v>
      </c>
      <c r="M170" s="218"/>
      <c r="N170" s="201">
        <f t="shared" si="25"/>
        <v>361782.01744516834</v>
      </c>
    </row>
    <row r="171" spans="1:14" ht="10.5" customHeight="1">
      <c r="A171" s="162"/>
      <c r="B171" s="183">
        <f t="shared" si="26"/>
        <v>56</v>
      </c>
      <c r="C171" s="220">
        <f t="shared" si="27"/>
        <v>2045</v>
      </c>
      <c r="D171" s="217">
        <f t="shared" si="16"/>
        <v>82377.25894748588</v>
      </c>
      <c r="E171" s="199">
        <f t="shared" si="28"/>
        <v>361782.01744516834</v>
      </c>
      <c r="F171" s="218"/>
      <c r="G171" s="200">
        <f t="shared" si="24"/>
        <v>25324.741221161785</v>
      </c>
      <c r="H171" s="219"/>
      <c r="I171" s="219"/>
      <c r="J171" s="200">
        <f t="shared" si="17"/>
        <v>6580.538820975457</v>
      </c>
      <c r="K171" s="218"/>
      <c r="L171" s="200">
        <f t="shared" si="18"/>
        <v>1647.5451789497176</v>
      </c>
      <c r="M171" s="218"/>
      <c r="N171" s="201">
        <f t="shared" si="25"/>
        <v>395334.8426662553</v>
      </c>
    </row>
    <row r="172" spans="1:14" ht="10.5" customHeight="1">
      <c r="A172" s="162"/>
      <c r="B172" s="183">
        <f t="shared" si="26"/>
        <v>57</v>
      </c>
      <c r="C172" s="220">
        <f t="shared" si="27"/>
        <v>2046</v>
      </c>
      <c r="D172" s="217">
        <f t="shared" si="16"/>
        <v>85260.46301064787</v>
      </c>
      <c r="E172" s="199">
        <f t="shared" si="28"/>
        <v>395334.8426662553</v>
      </c>
      <c r="F172" s="218"/>
      <c r="G172" s="200">
        <f t="shared" si="24"/>
        <v>27673.438986637873</v>
      </c>
      <c r="H172" s="219"/>
      <c r="I172" s="219"/>
      <c r="J172" s="200">
        <f t="shared" si="17"/>
        <v>6810.8576797095975</v>
      </c>
      <c r="K172" s="218"/>
      <c r="L172" s="200">
        <f t="shared" si="18"/>
        <v>1705.2092602129576</v>
      </c>
      <c r="M172" s="218"/>
      <c r="N172" s="201">
        <f t="shared" si="25"/>
        <v>431524.34859281575</v>
      </c>
    </row>
    <row r="173" spans="1:14" ht="10.5" customHeight="1">
      <c r="A173" s="162"/>
      <c r="B173" s="183">
        <f t="shared" si="26"/>
        <v>58</v>
      </c>
      <c r="C173" s="220">
        <f t="shared" si="27"/>
        <v>2047</v>
      </c>
      <c r="D173" s="217">
        <f t="shared" si="16"/>
        <v>88244.57921602055</v>
      </c>
      <c r="E173" s="199">
        <f t="shared" si="28"/>
        <v>431524.34859281575</v>
      </c>
      <c r="F173" s="218"/>
      <c r="G173" s="200">
        <f t="shared" si="24"/>
        <v>30206.704401497103</v>
      </c>
      <c r="H173" s="219"/>
      <c r="I173" s="219"/>
      <c r="J173" s="200">
        <f t="shared" si="17"/>
        <v>7049.237698499433</v>
      </c>
      <c r="K173" s="218"/>
      <c r="L173" s="200">
        <f t="shared" si="18"/>
        <v>1764.8915843204109</v>
      </c>
      <c r="M173" s="218"/>
      <c r="N173" s="201">
        <f t="shared" si="25"/>
        <v>470545.18227713264</v>
      </c>
    </row>
    <row r="174" spans="1:14" ht="10.5" customHeight="1">
      <c r="A174" s="165"/>
      <c r="B174" s="214">
        <f t="shared" si="26"/>
        <v>59</v>
      </c>
      <c r="C174" s="221">
        <f t="shared" si="27"/>
        <v>2048</v>
      </c>
      <c r="D174" s="222">
        <f t="shared" si="16"/>
        <v>91333.13948858125</v>
      </c>
      <c r="E174" s="223">
        <f t="shared" si="28"/>
        <v>470545.18227713264</v>
      </c>
      <c r="F174" s="210"/>
      <c r="G174" s="213">
        <f t="shared" si="24"/>
        <v>32938.16275939929</v>
      </c>
      <c r="H174" s="224"/>
      <c r="I174" s="224"/>
      <c r="J174" s="213">
        <f t="shared" si="17"/>
        <v>7295.961017946912</v>
      </c>
      <c r="K174" s="210"/>
      <c r="L174" s="213">
        <f t="shared" si="18"/>
        <v>1826.662789771625</v>
      </c>
      <c r="M174" s="210"/>
      <c r="N174" s="225">
        <f t="shared" si="25"/>
        <v>512605.9688442504</v>
      </c>
    </row>
    <row r="175" spans="1:14" ht="10.5" customHeight="1">
      <c r="A175" s="162"/>
      <c r="B175" s="183">
        <f t="shared" si="26"/>
        <v>60</v>
      </c>
      <c r="C175" s="220">
        <f t="shared" si="27"/>
        <v>2049</v>
      </c>
      <c r="D175" s="217">
        <f t="shared" si="16"/>
        <v>94529.79937068159</v>
      </c>
      <c r="E175" s="199">
        <f t="shared" si="28"/>
        <v>512605.9688442504</v>
      </c>
      <c r="F175" s="218"/>
      <c r="G175" s="200">
        <f t="shared" si="24"/>
        <v>35882.417819097536</v>
      </c>
      <c r="H175" s="219"/>
      <c r="I175" s="219"/>
      <c r="J175" s="200">
        <f t="shared" si="17"/>
        <v>7551.319653575053</v>
      </c>
      <c r="K175" s="218"/>
      <c r="L175" s="200">
        <f t="shared" si="18"/>
        <v>1890.5959874136317</v>
      </c>
      <c r="M175" s="218"/>
      <c r="N175" s="201">
        <f t="shared" si="25"/>
        <v>557930.3023043367</v>
      </c>
    </row>
    <row r="176" spans="1:14" ht="10.5" customHeight="1">
      <c r="A176" s="162"/>
      <c r="B176" s="183">
        <f t="shared" si="26"/>
        <v>61</v>
      </c>
      <c r="C176" s="220">
        <f t="shared" si="27"/>
        <v>2050</v>
      </c>
      <c r="D176" s="217">
        <f t="shared" si="16"/>
        <v>97838.34234865544</v>
      </c>
      <c r="E176" s="199">
        <f t="shared" si="28"/>
        <v>557930.3023043367</v>
      </c>
      <c r="F176" s="218"/>
      <c r="G176" s="200">
        <f t="shared" si="24"/>
        <v>39055.12116130357</v>
      </c>
      <c r="H176" s="219"/>
      <c r="I176" s="219"/>
      <c r="J176" s="200">
        <f t="shared" si="17"/>
        <v>7815.61584145018</v>
      </c>
      <c r="K176" s="218"/>
      <c r="L176" s="200">
        <f t="shared" si="18"/>
        <v>1956.7668469731088</v>
      </c>
      <c r="M176" s="218"/>
      <c r="N176" s="201">
        <f t="shared" si="25"/>
        <v>606757.8061540636</v>
      </c>
    </row>
    <row r="177" spans="1:14" ht="10.5" customHeight="1">
      <c r="A177" s="162"/>
      <c r="B177" s="183">
        <f t="shared" si="26"/>
        <v>62</v>
      </c>
      <c r="C177" s="220">
        <f t="shared" si="27"/>
        <v>2051</v>
      </c>
      <c r="D177" s="217">
        <f t="shared" si="16"/>
        <v>101262.68433085838</v>
      </c>
      <c r="E177" s="199">
        <f t="shared" si="28"/>
        <v>606757.8061540636</v>
      </c>
      <c r="F177" s="218"/>
      <c r="G177" s="200">
        <f t="shared" si="24"/>
        <v>42473.04643078445</v>
      </c>
      <c r="H177" s="219"/>
      <c r="I177" s="219"/>
      <c r="J177" s="200">
        <f t="shared" si="17"/>
        <v>8089.162395900936</v>
      </c>
      <c r="K177" s="218"/>
      <c r="L177" s="200">
        <f t="shared" si="18"/>
        <v>2025.2536866171677</v>
      </c>
      <c r="M177" s="218"/>
      <c r="N177" s="201">
        <f t="shared" si="25"/>
        <v>659345.268667366</v>
      </c>
    </row>
    <row r="178" spans="1:14" ht="10.5" customHeight="1">
      <c r="A178" s="162"/>
      <c r="B178" s="183">
        <f t="shared" si="26"/>
        <v>63</v>
      </c>
      <c r="C178" s="220">
        <f t="shared" si="27"/>
        <v>2052</v>
      </c>
      <c r="D178" s="217">
        <f t="shared" si="16"/>
        <v>104806.87828243841</v>
      </c>
      <c r="E178" s="199">
        <f t="shared" si="28"/>
        <v>659345.268667366</v>
      </c>
      <c r="F178" s="218"/>
      <c r="G178" s="200">
        <f t="shared" si="24"/>
        <v>46154.16880671563</v>
      </c>
      <c r="H178" s="219"/>
      <c r="I178" s="219"/>
      <c r="J178" s="200">
        <f t="shared" si="17"/>
        <v>8372.283079757468</v>
      </c>
      <c r="K178" s="218"/>
      <c r="L178" s="200">
        <f t="shared" si="18"/>
        <v>2096.137565648768</v>
      </c>
      <c r="M178" s="218"/>
      <c r="N178" s="201">
        <f t="shared" si="25"/>
        <v>715967.8581194879</v>
      </c>
    </row>
    <row r="179" spans="1:14" ht="10.5" customHeight="1">
      <c r="A179" s="165"/>
      <c r="B179" s="214">
        <f t="shared" si="26"/>
        <v>64</v>
      </c>
      <c r="C179" s="221">
        <f t="shared" si="27"/>
        <v>2053</v>
      </c>
      <c r="D179" s="222">
        <f t="shared" si="16"/>
        <v>108475.11902232374</v>
      </c>
      <c r="E179" s="223">
        <f t="shared" si="28"/>
        <v>715967.8581194879</v>
      </c>
      <c r="F179" s="210"/>
      <c r="G179" s="213">
        <f t="shared" si="24"/>
        <v>50117.750068364156</v>
      </c>
      <c r="H179" s="224"/>
      <c r="I179" s="224"/>
      <c r="J179" s="213">
        <f t="shared" si="17"/>
        <v>8665.312987548978</v>
      </c>
      <c r="K179" s="210"/>
      <c r="L179" s="213">
        <f t="shared" si="18"/>
        <v>2169.502380446475</v>
      </c>
      <c r="M179" s="210"/>
      <c r="N179" s="225">
        <f t="shared" si="25"/>
        <v>776920.4235558476</v>
      </c>
    </row>
    <row r="180" spans="1:14" ht="10.5" customHeight="1">
      <c r="A180" s="162"/>
      <c r="B180" s="183" t="str">
        <f t="shared" si="26"/>
        <v> </v>
      </c>
      <c r="C180" s="220" t="str">
        <f t="shared" si="27"/>
        <v> </v>
      </c>
      <c r="D180" s="217" t="str">
        <f t="shared" si="16"/>
        <v> </v>
      </c>
      <c r="E180" s="199" t="str">
        <f t="shared" si="28"/>
        <v> </v>
      </c>
      <c r="F180" s="218"/>
      <c r="G180" s="200" t="str">
        <f t="shared" si="24"/>
        <v> </v>
      </c>
      <c r="H180" s="219"/>
      <c r="I180" s="219"/>
      <c r="J180" s="200" t="str">
        <f t="shared" si="17"/>
        <v> </v>
      </c>
      <c r="K180" s="218"/>
      <c r="L180" s="200" t="str">
        <f t="shared" si="18"/>
        <v> </v>
      </c>
      <c r="M180" s="218"/>
      <c r="N180" s="201" t="str">
        <f t="shared" si="25"/>
        <v> </v>
      </c>
    </row>
    <row r="181" spans="1:14" ht="10.5" customHeight="1">
      <c r="A181" s="162"/>
      <c r="B181" s="183" t="str">
        <f t="shared" si="26"/>
        <v> </v>
      </c>
      <c r="C181" s="220" t="str">
        <f t="shared" si="27"/>
        <v> </v>
      </c>
      <c r="D181" s="217" t="str">
        <f t="shared" si="16"/>
        <v> </v>
      </c>
      <c r="E181" s="199" t="str">
        <f t="shared" si="28"/>
        <v> </v>
      </c>
      <c r="F181" s="218"/>
      <c r="G181" s="200" t="str">
        <f t="shared" si="24"/>
        <v> </v>
      </c>
      <c r="H181" s="219"/>
      <c r="I181" s="219"/>
      <c r="J181" s="200" t="str">
        <f t="shared" si="17"/>
        <v> </v>
      </c>
      <c r="K181" s="218"/>
      <c r="L181" s="200" t="str">
        <f t="shared" si="18"/>
        <v> </v>
      </c>
      <c r="M181" s="218"/>
      <c r="N181" s="201" t="str">
        <f t="shared" si="25"/>
        <v> </v>
      </c>
    </row>
    <row r="182" spans="1:14" ht="10.5" customHeight="1">
      <c r="A182" s="162"/>
      <c r="B182" s="183" t="str">
        <f t="shared" si="26"/>
        <v> </v>
      </c>
      <c r="C182" s="220" t="str">
        <f t="shared" si="27"/>
        <v> </v>
      </c>
      <c r="D182" s="217" t="str">
        <f aca="true" t="shared" si="29" ref="D182:D199">IF(B182=" "," ",G118)</f>
        <v> </v>
      </c>
      <c r="E182" s="199" t="str">
        <f t="shared" si="28"/>
        <v> </v>
      </c>
      <c r="F182" s="218"/>
      <c r="G182" s="200" t="str">
        <f t="shared" si="24"/>
        <v> </v>
      </c>
      <c r="H182" s="219"/>
      <c r="I182" s="219"/>
      <c r="J182" s="200" t="str">
        <f aca="true" t="shared" si="30" ref="J182:J199">IF(B182=" "," ",requiredeesavingsrate*G118)</f>
        <v> </v>
      </c>
      <c r="K182" s="218"/>
      <c r="L182" s="200" t="str">
        <f aca="true" t="shared" si="31" ref="L182:L199">IF(B182=" "," ",employercontribution*G118)</f>
        <v> </v>
      </c>
      <c r="M182" s="218"/>
      <c r="N182" s="201" t="str">
        <f t="shared" si="25"/>
        <v> </v>
      </c>
    </row>
    <row r="183" spans="1:14" ht="10.5" customHeight="1">
      <c r="A183" s="162"/>
      <c r="B183" s="183" t="str">
        <f t="shared" si="26"/>
        <v> </v>
      </c>
      <c r="C183" s="220" t="str">
        <f t="shared" si="27"/>
        <v> </v>
      </c>
      <c r="D183" s="217" t="str">
        <f t="shared" si="29"/>
        <v> </v>
      </c>
      <c r="E183" s="199" t="str">
        <f t="shared" si="28"/>
        <v> </v>
      </c>
      <c r="F183" s="218"/>
      <c r="G183" s="200" t="str">
        <f aca="true" t="shared" si="32" ref="G183:G198">IF(B183=" "," ",preretyield*E183)</f>
        <v> </v>
      </c>
      <c r="H183" s="219"/>
      <c r="I183" s="219"/>
      <c r="J183" s="200" t="str">
        <f t="shared" si="30"/>
        <v> </v>
      </c>
      <c r="K183" s="218"/>
      <c r="L183" s="200" t="str">
        <f t="shared" si="31"/>
        <v> </v>
      </c>
      <c r="M183" s="218"/>
      <c r="N183" s="201" t="str">
        <f aca="true" t="shared" si="33" ref="N183:N198">IF(B183=" "," ",E183+G183+J183+L183)</f>
        <v> </v>
      </c>
    </row>
    <row r="184" spans="1:14" ht="10.5" customHeight="1">
      <c r="A184" s="165"/>
      <c r="B184" s="214" t="str">
        <f aca="true" t="shared" si="34" ref="B184:B200">IF(B183&lt;retage-1,B183+1," ")</f>
        <v> </v>
      </c>
      <c r="C184" s="221" t="str">
        <f aca="true" t="shared" si="35" ref="C184:C201">IF(B184=" "," ",C183+1)</f>
        <v> </v>
      </c>
      <c r="D184" s="222" t="str">
        <f t="shared" si="29"/>
        <v> </v>
      </c>
      <c r="E184" s="223" t="str">
        <f aca="true" t="shared" si="36" ref="E184:E200">IF(B184=" "," ",N183)</f>
        <v> </v>
      </c>
      <c r="F184" s="210"/>
      <c r="G184" s="213" t="str">
        <f t="shared" si="32"/>
        <v> </v>
      </c>
      <c r="H184" s="224"/>
      <c r="I184" s="224"/>
      <c r="J184" s="213" t="str">
        <f t="shared" si="30"/>
        <v> </v>
      </c>
      <c r="K184" s="210"/>
      <c r="L184" s="213" t="str">
        <f t="shared" si="31"/>
        <v> </v>
      </c>
      <c r="M184" s="210"/>
      <c r="N184" s="225" t="str">
        <f t="shared" si="33"/>
        <v> </v>
      </c>
    </row>
    <row r="185" spans="1:14" ht="10.5" customHeight="1">
      <c r="A185" s="162"/>
      <c r="B185" s="183" t="str">
        <f t="shared" si="34"/>
        <v> </v>
      </c>
      <c r="C185" s="220" t="str">
        <f t="shared" si="35"/>
        <v> </v>
      </c>
      <c r="D185" s="217" t="str">
        <f t="shared" si="29"/>
        <v> </v>
      </c>
      <c r="E185" s="199" t="str">
        <f t="shared" si="36"/>
        <v> </v>
      </c>
      <c r="F185" s="218"/>
      <c r="G185" s="200" t="str">
        <f t="shared" si="32"/>
        <v> </v>
      </c>
      <c r="H185" s="219"/>
      <c r="I185" s="219"/>
      <c r="J185" s="200" t="str">
        <f t="shared" si="30"/>
        <v> </v>
      </c>
      <c r="K185" s="218"/>
      <c r="L185" s="200" t="str">
        <f t="shared" si="31"/>
        <v> </v>
      </c>
      <c r="M185" s="218"/>
      <c r="N185" s="201" t="str">
        <f t="shared" si="33"/>
        <v> </v>
      </c>
    </row>
    <row r="186" spans="1:14" ht="10.5" customHeight="1">
      <c r="A186" s="162"/>
      <c r="B186" s="183" t="str">
        <f t="shared" si="34"/>
        <v> </v>
      </c>
      <c r="C186" s="220" t="str">
        <f t="shared" si="35"/>
        <v> </v>
      </c>
      <c r="D186" s="217" t="str">
        <f t="shared" si="29"/>
        <v> </v>
      </c>
      <c r="E186" s="199" t="str">
        <f t="shared" si="36"/>
        <v> </v>
      </c>
      <c r="F186" s="218"/>
      <c r="G186" s="200" t="str">
        <f t="shared" si="32"/>
        <v> </v>
      </c>
      <c r="H186" s="219"/>
      <c r="I186" s="219"/>
      <c r="J186" s="200" t="str">
        <f t="shared" si="30"/>
        <v> </v>
      </c>
      <c r="K186" s="218"/>
      <c r="L186" s="200" t="str">
        <f t="shared" si="31"/>
        <v> </v>
      </c>
      <c r="M186" s="218"/>
      <c r="N186" s="201" t="str">
        <f t="shared" si="33"/>
        <v> </v>
      </c>
    </row>
    <row r="187" spans="1:14" ht="10.5" customHeight="1">
      <c r="A187" s="162"/>
      <c r="B187" s="183" t="str">
        <f t="shared" si="34"/>
        <v> </v>
      </c>
      <c r="C187" s="220" t="str">
        <f t="shared" si="35"/>
        <v> </v>
      </c>
      <c r="D187" s="217" t="str">
        <f t="shared" si="29"/>
        <v> </v>
      </c>
      <c r="E187" s="199" t="str">
        <f t="shared" si="36"/>
        <v> </v>
      </c>
      <c r="F187" s="218"/>
      <c r="G187" s="200" t="str">
        <f t="shared" si="32"/>
        <v> </v>
      </c>
      <c r="H187" s="219"/>
      <c r="I187" s="219"/>
      <c r="J187" s="200" t="str">
        <f t="shared" si="30"/>
        <v> </v>
      </c>
      <c r="K187" s="218"/>
      <c r="L187" s="200" t="str">
        <f t="shared" si="31"/>
        <v> </v>
      </c>
      <c r="M187" s="218"/>
      <c r="N187" s="201" t="str">
        <f t="shared" si="33"/>
        <v> </v>
      </c>
    </row>
    <row r="188" spans="1:14" ht="10.5" customHeight="1">
      <c r="A188" s="162"/>
      <c r="B188" s="183" t="str">
        <f t="shared" si="34"/>
        <v> </v>
      </c>
      <c r="C188" s="220" t="str">
        <f t="shared" si="35"/>
        <v> </v>
      </c>
      <c r="D188" s="217" t="str">
        <f t="shared" si="29"/>
        <v> </v>
      </c>
      <c r="E188" s="199" t="str">
        <f t="shared" si="36"/>
        <v> </v>
      </c>
      <c r="F188" s="218"/>
      <c r="G188" s="200" t="str">
        <f t="shared" si="32"/>
        <v> </v>
      </c>
      <c r="H188" s="219"/>
      <c r="I188" s="219"/>
      <c r="J188" s="200" t="str">
        <f t="shared" si="30"/>
        <v> </v>
      </c>
      <c r="K188" s="218"/>
      <c r="L188" s="200" t="str">
        <f t="shared" si="31"/>
        <v> </v>
      </c>
      <c r="M188" s="218"/>
      <c r="N188" s="201" t="str">
        <f t="shared" si="33"/>
        <v> </v>
      </c>
    </row>
    <row r="189" spans="1:14" ht="10.5" customHeight="1">
      <c r="A189" s="165"/>
      <c r="B189" s="214" t="str">
        <f t="shared" si="34"/>
        <v> </v>
      </c>
      <c r="C189" s="221" t="str">
        <f t="shared" si="35"/>
        <v> </v>
      </c>
      <c r="D189" s="222" t="str">
        <f t="shared" si="29"/>
        <v> </v>
      </c>
      <c r="E189" s="223" t="str">
        <f t="shared" si="36"/>
        <v> </v>
      </c>
      <c r="F189" s="210"/>
      <c r="G189" s="213" t="str">
        <f t="shared" si="32"/>
        <v> </v>
      </c>
      <c r="H189" s="224"/>
      <c r="I189" s="224"/>
      <c r="J189" s="213" t="str">
        <f t="shared" si="30"/>
        <v> </v>
      </c>
      <c r="K189" s="210"/>
      <c r="L189" s="213" t="str">
        <f t="shared" si="31"/>
        <v> </v>
      </c>
      <c r="M189" s="210"/>
      <c r="N189" s="225" t="str">
        <f t="shared" si="33"/>
        <v> </v>
      </c>
    </row>
    <row r="190" spans="1:14" ht="10.5" customHeight="1">
      <c r="A190" s="162"/>
      <c r="B190" s="183" t="str">
        <f t="shared" si="34"/>
        <v> </v>
      </c>
      <c r="C190" s="220" t="str">
        <f t="shared" si="35"/>
        <v> </v>
      </c>
      <c r="D190" s="217" t="str">
        <f t="shared" si="29"/>
        <v> </v>
      </c>
      <c r="E190" s="199" t="str">
        <f t="shared" si="36"/>
        <v> </v>
      </c>
      <c r="F190" s="218"/>
      <c r="G190" s="200" t="str">
        <f t="shared" si="32"/>
        <v> </v>
      </c>
      <c r="H190" s="219"/>
      <c r="I190" s="219"/>
      <c r="J190" s="200" t="str">
        <f t="shared" si="30"/>
        <v> </v>
      </c>
      <c r="K190" s="218"/>
      <c r="L190" s="200" t="str">
        <f t="shared" si="31"/>
        <v> </v>
      </c>
      <c r="M190" s="218"/>
      <c r="N190" s="201" t="str">
        <f t="shared" si="33"/>
        <v> </v>
      </c>
    </row>
    <row r="191" spans="1:14" ht="10.5" customHeight="1">
      <c r="A191" s="162"/>
      <c r="B191" s="183" t="str">
        <f t="shared" si="34"/>
        <v> </v>
      </c>
      <c r="C191" s="220" t="str">
        <f t="shared" si="35"/>
        <v> </v>
      </c>
      <c r="D191" s="217" t="str">
        <f t="shared" si="29"/>
        <v> </v>
      </c>
      <c r="E191" s="199" t="str">
        <f t="shared" si="36"/>
        <v> </v>
      </c>
      <c r="F191" s="218"/>
      <c r="G191" s="200" t="str">
        <f t="shared" si="32"/>
        <v> </v>
      </c>
      <c r="H191" s="219"/>
      <c r="I191" s="219"/>
      <c r="J191" s="200" t="str">
        <f t="shared" si="30"/>
        <v> </v>
      </c>
      <c r="K191" s="218"/>
      <c r="L191" s="200" t="str">
        <f t="shared" si="31"/>
        <v> </v>
      </c>
      <c r="M191" s="218"/>
      <c r="N191" s="201" t="str">
        <f t="shared" si="33"/>
        <v> </v>
      </c>
    </row>
    <row r="192" spans="1:14" ht="10.5" customHeight="1">
      <c r="A192" s="162"/>
      <c r="B192" s="183" t="str">
        <f t="shared" si="34"/>
        <v> </v>
      </c>
      <c r="C192" s="220" t="str">
        <f t="shared" si="35"/>
        <v> </v>
      </c>
      <c r="D192" s="217" t="str">
        <f t="shared" si="29"/>
        <v> </v>
      </c>
      <c r="E192" s="199" t="str">
        <f t="shared" si="36"/>
        <v> </v>
      </c>
      <c r="F192" s="218"/>
      <c r="G192" s="200" t="str">
        <f t="shared" si="32"/>
        <v> </v>
      </c>
      <c r="H192" s="219"/>
      <c r="I192" s="219"/>
      <c r="J192" s="200" t="str">
        <f t="shared" si="30"/>
        <v> </v>
      </c>
      <c r="K192" s="218"/>
      <c r="L192" s="200" t="str">
        <f t="shared" si="31"/>
        <v> </v>
      </c>
      <c r="M192" s="218"/>
      <c r="N192" s="201" t="str">
        <f t="shared" si="33"/>
        <v> </v>
      </c>
    </row>
    <row r="193" spans="1:14" ht="10.5" customHeight="1">
      <c r="A193" s="162"/>
      <c r="B193" s="183" t="str">
        <f t="shared" si="34"/>
        <v> </v>
      </c>
      <c r="C193" s="220" t="str">
        <f t="shared" si="35"/>
        <v> </v>
      </c>
      <c r="D193" s="217" t="str">
        <f t="shared" si="29"/>
        <v> </v>
      </c>
      <c r="E193" s="199" t="str">
        <f t="shared" si="36"/>
        <v> </v>
      </c>
      <c r="F193" s="218"/>
      <c r="G193" s="200" t="str">
        <f t="shared" si="32"/>
        <v> </v>
      </c>
      <c r="H193" s="219"/>
      <c r="I193" s="219"/>
      <c r="J193" s="200" t="str">
        <f t="shared" si="30"/>
        <v> </v>
      </c>
      <c r="K193" s="218"/>
      <c r="L193" s="200" t="str">
        <f t="shared" si="31"/>
        <v> </v>
      </c>
      <c r="M193" s="218"/>
      <c r="N193" s="201" t="str">
        <f t="shared" si="33"/>
        <v> </v>
      </c>
    </row>
    <row r="194" spans="1:14" ht="10.5" customHeight="1">
      <c r="A194" s="165"/>
      <c r="B194" s="214" t="str">
        <f t="shared" si="34"/>
        <v> </v>
      </c>
      <c r="C194" s="221" t="str">
        <f t="shared" si="35"/>
        <v> </v>
      </c>
      <c r="D194" s="222" t="str">
        <f t="shared" si="29"/>
        <v> </v>
      </c>
      <c r="E194" s="223" t="str">
        <f t="shared" si="36"/>
        <v> </v>
      </c>
      <c r="F194" s="210"/>
      <c r="G194" s="213" t="str">
        <f t="shared" si="32"/>
        <v> </v>
      </c>
      <c r="H194" s="224"/>
      <c r="I194" s="224"/>
      <c r="J194" s="213" t="str">
        <f t="shared" si="30"/>
        <v> </v>
      </c>
      <c r="K194" s="210"/>
      <c r="L194" s="213" t="str">
        <f t="shared" si="31"/>
        <v> </v>
      </c>
      <c r="M194" s="210"/>
      <c r="N194" s="225" t="str">
        <f t="shared" si="33"/>
        <v> </v>
      </c>
    </row>
    <row r="195" spans="1:14" ht="10.5" customHeight="1">
      <c r="A195" s="162"/>
      <c r="B195" s="183" t="str">
        <f t="shared" si="34"/>
        <v> </v>
      </c>
      <c r="C195" s="220" t="str">
        <f t="shared" si="35"/>
        <v> </v>
      </c>
      <c r="D195" s="217" t="str">
        <f t="shared" si="29"/>
        <v> </v>
      </c>
      <c r="E195" s="199" t="str">
        <f t="shared" si="36"/>
        <v> </v>
      </c>
      <c r="F195" s="218"/>
      <c r="G195" s="200" t="str">
        <f t="shared" si="32"/>
        <v> </v>
      </c>
      <c r="H195" s="219"/>
      <c r="I195" s="219"/>
      <c r="J195" s="200" t="str">
        <f t="shared" si="30"/>
        <v> </v>
      </c>
      <c r="K195" s="218"/>
      <c r="L195" s="200" t="str">
        <f t="shared" si="31"/>
        <v> </v>
      </c>
      <c r="M195" s="218"/>
      <c r="N195" s="201" t="str">
        <f t="shared" si="33"/>
        <v> </v>
      </c>
    </row>
    <row r="196" spans="1:14" ht="10.5" customHeight="1">
      <c r="A196" s="162"/>
      <c r="B196" s="183" t="str">
        <f t="shared" si="34"/>
        <v> </v>
      </c>
      <c r="C196" s="220" t="str">
        <f t="shared" si="35"/>
        <v> </v>
      </c>
      <c r="D196" s="217" t="str">
        <f t="shared" si="29"/>
        <v> </v>
      </c>
      <c r="E196" s="199" t="str">
        <f t="shared" si="36"/>
        <v> </v>
      </c>
      <c r="F196" s="218"/>
      <c r="G196" s="200" t="str">
        <f t="shared" si="32"/>
        <v> </v>
      </c>
      <c r="H196" s="219"/>
      <c r="I196" s="219"/>
      <c r="J196" s="200" t="str">
        <f t="shared" si="30"/>
        <v> </v>
      </c>
      <c r="K196" s="218"/>
      <c r="L196" s="200" t="str">
        <f t="shared" si="31"/>
        <v> </v>
      </c>
      <c r="M196" s="218"/>
      <c r="N196" s="201" t="str">
        <f t="shared" si="33"/>
        <v> </v>
      </c>
    </row>
    <row r="197" spans="1:14" ht="10.5" customHeight="1">
      <c r="A197" s="162"/>
      <c r="B197" s="183" t="str">
        <f t="shared" si="34"/>
        <v> </v>
      </c>
      <c r="C197" s="220" t="str">
        <f t="shared" si="35"/>
        <v> </v>
      </c>
      <c r="D197" s="217" t="str">
        <f t="shared" si="29"/>
        <v> </v>
      </c>
      <c r="E197" s="199" t="str">
        <f t="shared" si="36"/>
        <v> </v>
      </c>
      <c r="F197" s="218"/>
      <c r="G197" s="200" t="str">
        <f t="shared" si="32"/>
        <v> </v>
      </c>
      <c r="H197" s="219"/>
      <c r="I197" s="219"/>
      <c r="J197" s="200" t="str">
        <f t="shared" si="30"/>
        <v> </v>
      </c>
      <c r="K197" s="218"/>
      <c r="L197" s="200" t="str">
        <f t="shared" si="31"/>
        <v> </v>
      </c>
      <c r="M197" s="218"/>
      <c r="N197" s="201" t="str">
        <f t="shared" si="33"/>
        <v> </v>
      </c>
    </row>
    <row r="198" spans="1:14" ht="10.5" customHeight="1">
      <c r="A198" s="162"/>
      <c r="B198" s="183" t="str">
        <f t="shared" si="34"/>
        <v> </v>
      </c>
      <c r="C198" s="220" t="str">
        <f t="shared" si="35"/>
        <v> </v>
      </c>
      <c r="D198" s="217" t="str">
        <f t="shared" si="29"/>
        <v> </v>
      </c>
      <c r="E198" s="199" t="str">
        <f t="shared" si="36"/>
        <v> </v>
      </c>
      <c r="F198" s="218"/>
      <c r="G198" s="200" t="str">
        <f t="shared" si="32"/>
        <v> </v>
      </c>
      <c r="H198" s="219"/>
      <c r="I198" s="219"/>
      <c r="J198" s="200" t="str">
        <f t="shared" si="30"/>
        <v> </v>
      </c>
      <c r="K198" s="218"/>
      <c r="L198" s="200" t="str">
        <f t="shared" si="31"/>
        <v> </v>
      </c>
      <c r="M198" s="218"/>
      <c r="N198" s="201" t="str">
        <f t="shared" si="33"/>
        <v> </v>
      </c>
    </row>
    <row r="199" spans="1:14" ht="10.5" customHeight="1">
      <c r="A199" s="165"/>
      <c r="B199" s="214" t="str">
        <f t="shared" si="34"/>
        <v> </v>
      </c>
      <c r="C199" s="221" t="str">
        <f t="shared" si="35"/>
        <v> </v>
      </c>
      <c r="D199" s="222" t="str">
        <f t="shared" si="29"/>
        <v> </v>
      </c>
      <c r="E199" s="223" t="str">
        <f t="shared" si="36"/>
        <v> </v>
      </c>
      <c r="F199" s="210"/>
      <c r="G199" s="213" t="str">
        <f aca="true" t="shared" si="37" ref="G199:G204">IF(B199=" "," ",preretyield*E199)</f>
        <v> </v>
      </c>
      <c r="H199" s="224"/>
      <c r="I199" s="224"/>
      <c r="J199" s="213" t="str">
        <f t="shared" si="30"/>
        <v> </v>
      </c>
      <c r="K199" s="210"/>
      <c r="L199" s="213" t="str">
        <f t="shared" si="31"/>
        <v> </v>
      </c>
      <c r="M199" s="210"/>
      <c r="N199" s="225" t="str">
        <f aca="true" t="shared" si="38" ref="N199:N204">IF(B199=" "," ",E199+G199+J199+L199)</f>
        <v> </v>
      </c>
    </row>
    <row r="200" spans="1:14" ht="10.5" customHeight="1">
      <c r="A200" s="162"/>
      <c r="B200" s="226" t="str">
        <f t="shared" si="34"/>
        <v> </v>
      </c>
      <c r="C200" s="227" t="str">
        <f t="shared" si="35"/>
        <v> </v>
      </c>
      <c r="D200" s="228" t="str">
        <f>IF(B200=" "," ",G136)</f>
        <v> </v>
      </c>
      <c r="E200" s="199" t="str">
        <f t="shared" si="36"/>
        <v> </v>
      </c>
      <c r="F200" s="218"/>
      <c r="G200" s="200" t="str">
        <f t="shared" si="37"/>
        <v> </v>
      </c>
      <c r="H200" s="219"/>
      <c r="I200" s="219"/>
      <c r="J200" s="200" t="str">
        <f>IF(B200=" "," ",requiredeesavingsrate*G136)</f>
        <v> </v>
      </c>
      <c r="K200" s="218"/>
      <c r="L200" s="200" t="str">
        <f>IF(B200=" "," ",employercontribution*G136)</f>
        <v> </v>
      </c>
      <c r="M200" s="218"/>
      <c r="N200" s="201" t="str">
        <f t="shared" si="38"/>
        <v> </v>
      </c>
    </row>
    <row r="201" spans="1:14" ht="10.5" customHeight="1">
      <c r="A201" s="162"/>
      <c r="B201" s="226" t="str">
        <f>IF(B200&lt;retage-1,B200+1," ")</f>
        <v> </v>
      </c>
      <c r="C201" s="227" t="str">
        <f t="shared" si="35"/>
        <v> </v>
      </c>
      <c r="D201" s="228" t="str">
        <f>IF(B201=" "," ",G137)</f>
        <v> </v>
      </c>
      <c r="E201" s="199" t="str">
        <f>IF(B201=" "," ",N200)</f>
        <v> </v>
      </c>
      <c r="F201" s="218"/>
      <c r="G201" s="200" t="str">
        <f t="shared" si="37"/>
        <v> </v>
      </c>
      <c r="H201" s="219"/>
      <c r="I201" s="219"/>
      <c r="J201" s="200" t="str">
        <f>IF(B201=" "," ",requiredeesavingsrate*G137)</f>
        <v> </v>
      </c>
      <c r="K201" s="218"/>
      <c r="L201" s="200" t="str">
        <f>IF(B201=" "," ",employercontribution*G137)</f>
        <v> </v>
      </c>
      <c r="M201" s="218"/>
      <c r="N201" s="201" t="str">
        <f t="shared" si="38"/>
        <v> </v>
      </c>
    </row>
    <row r="202" spans="1:14" ht="10.5" customHeight="1">
      <c r="A202" s="162"/>
      <c r="B202" s="226" t="str">
        <f>IF(B201&lt;retage-1,B201+1," ")</f>
        <v> </v>
      </c>
      <c r="C202" s="227" t="str">
        <f>IF(B202=" "," ",C201+1)</f>
        <v> </v>
      </c>
      <c r="D202" s="228" t="str">
        <f>IF(B202=" "," ",G138)</f>
        <v> </v>
      </c>
      <c r="E202" s="199" t="str">
        <f>IF(B202=" "," ",N201)</f>
        <v> </v>
      </c>
      <c r="F202" s="218"/>
      <c r="G202" s="200" t="str">
        <f t="shared" si="37"/>
        <v> </v>
      </c>
      <c r="H202" s="219"/>
      <c r="I202" s="219"/>
      <c r="J202" s="200" t="str">
        <f>IF(B202=" "," ",requiredeesavingsrate*G138)</f>
        <v> </v>
      </c>
      <c r="K202" s="218"/>
      <c r="L202" s="200" t="str">
        <f>IF(B202=" "," ",employercontribution*G138)</f>
        <v> </v>
      </c>
      <c r="M202" s="218"/>
      <c r="N202" s="201" t="str">
        <f t="shared" si="38"/>
        <v> </v>
      </c>
    </row>
    <row r="203" spans="1:14" ht="10.5" customHeight="1">
      <c r="A203" s="162"/>
      <c r="B203" s="226" t="str">
        <f>IF(B202&lt;retage-1,B202+1," ")</f>
        <v> </v>
      </c>
      <c r="C203" s="227" t="str">
        <f>IF(B203=" "," ",C202+1)</f>
        <v> </v>
      </c>
      <c r="D203" s="228" t="str">
        <f>IF(B203=" "," ",G139)</f>
        <v> </v>
      </c>
      <c r="E203" s="199" t="str">
        <f>IF(B203=" "," ",N202)</f>
        <v> </v>
      </c>
      <c r="F203" s="218"/>
      <c r="G203" s="200" t="str">
        <f t="shared" si="37"/>
        <v> </v>
      </c>
      <c r="H203" s="219"/>
      <c r="I203" s="219"/>
      <c r="J203" s="200" t="str">
        <f>IF(B203=" "," ",requiredeesavingsrate*G139)</f>
        <v> </v>
      </c>
      <c r="K203" s="218"/>
      <c r="L203" s="200" t="str">
        <f>IF(B203=" "," ",employercontribution*G139)</f>
        <v> </v>
      </c>
      <c r="M203" s="218"/>
      <c r="N203" s="201" t="str">
        <f t="shared" si="38"/>
        <v> </v>
      </c>
    </row>
    <row r="204" spans="1:14" ht="10.5" customHeight="1" thickBot="1">
      <c r="A204" s="165"/>
      <c r="B204" s="214" t="str">
        <f>IF(B203&lt;retage-1,B203+1," ")</f>
        <v> </v>
      </c>
      <c r="C204" s="221" t="str">
        <f>IF(B204=" "," ",C203+1)</f>
        <v> </v>
      </c>
      <c r="D204" s="222" t="str">
        <f>IF(B204=" "," ",G140)</f>
        <v> </v>
      </c>
      <c r="E204" s="229" t="str">
        <f>IF(B204=" "," ",N203)</f>
        <v> </v>
      </c>
      <c r="F204" s="185"/>
      <c r="G204" s="186" t="str">
        <f t="shared" si="37"/>
        <v> </v>
      </c>
      <c r="H204" s="230"/>
      <c r="I204" s="230"/>
      <c r="J204" s="186" t="str">
        <f>IF(B204=" "," ",requiredeesavingsrate*G140)</f>
        <v> </v>
      </c>
      <c r="K204" s="185"/>
      <c r="L204" s="186" t="str">
        <f>IF(B204=" "," ",employercontribution*G140)</f>
        <v> </v>
      </c>
      <c r="M204" s="185"/>
      <c r="N204" s="231" t="str">
        <f t="shared" si="38"/>
        <v> </v>
      </c>
    </row>
    <row r="205" spans="1:14" ht="10.5" customHeight="1">
      <c r="A205" s="162"/>
      <c r="B205" s="183"/>
      <c r="C205" s="220"/>
      <c r="D205" s="181"/>
      <c r="E205" s="232"/>
      <c r="F205" s="232"/>
      <c r="G205" s="232"/>
      <c r="H205" s="232"/>
      <c r="I205" s="232"/>
      <c r="J205" s="232"/>
      <c r="K205" s="180"/>
      <c r="L205" s="183"/>
      <c r="M205" s="180"/>
      <c r="N205" s="180"/>
    </row>
    <row r="206" spans="1:14" ht="10.5" customHeight="1">
      <c r="A206" s="162"/>
      <c r="B206" s="180"/>
      <c r="C206" s="180"/>
      <c r="D206" s="181"/>
      <c r="E206" s="232"/>
      <c r="F206" s="232"/>
      <c r="G206" s="232"/>
      <c r="H206" s="232"/>
      <c r="I206" s="232"/>
      <c r="J206" s="232"/>
      <c r="K206" s="180"/>
      <c r="L206" s="183"/>
      <c r="M206" s="180"/>
      <c r="N206" s="180"/>
    </row>
    <row r="207" spans="1:14" ht="10.5" customHeight="1">
      <c r="A207" s="113">
        <f>A143+0.01</f>
        <v>4.039999999999999</v>
      </c>
      <c r="B207" s="184" t="s">
        <v>167</v>
      </c>
      <c r="C207" s="180"/>
      <c r="D207" s="181"/>
      <c r="E207" s="232"/>
      <c r="F207" s="232"/>
      <c r="G207" s="232"/>
      <c r="H207" s="29"/>
      <c r="I207" s="29"/>
      <c r="J207" s="153"/>
      <c r="K207" s="154" t="s">
        <v>88</v>
      </c>
      <c r="L207" s="105">
        <f ca="1">TODAY()</f>
        <v>45271</v>
      </c>
      <c r="M207" s="233"/>
      <c r="N207" s="125"/>
    </row>
    <row r="208" spans="1:14" ht="10.5" customHeight="1">
      <c r="A208" s="113"/>
      <c r="B208" s="234" t="s">
        <v>168</v>
      </c>
      <c r="C208" s="210"/>
      <c r="D208" s="224"/>
      <c r="E208" s="235">
        <f>targetedreplacementratio</f>
        <v>0.85</v>
      </c>
      <c r="F208" s="235"/>
      <c r="G208" s="180"/>
      <c r="H208" s="236"/>
      <c r="I208" s="218"/>
      <c r="J208" s="219"/>
      <c r="K208" s="237"/>
      <c r="L208" s="237"/>
      <c r="M208" s="180"/>
      <c r="N208" s="180"/>
    </row>
    <row r="209" spans="1:14" ht="10.5" customHeight="1">
      <c r="A209" s="29"/>
      <c r="B209" s="184"/>
      <c r="C209" s="180"/>
      <c r="D209" s="181"/>
      <c r="E209" s="232"/>
      <c r="F209" s="232"/>
      <c r="G209" s="232"/>
      <c r="H209" s="238"/>
      <c r="I209" s="180"/>
      <c r="J209" s="232"/>
      <c r="K209" s="239"/>
      <c r="L209" s="239"/>
      <c r="M209" s="180"/>
      <c r="N209" s="180"/>
    </row>
    <row r="210" spans="1:14" ht="10.5" customHeight="1" thickBot="1">
      <c r="A210" s="135" t="s">
        <v>169</v>
      </c>
      <c r="B210" s="240"/>
      <c r="C210" s="183"/>
      <c r="D210" s="190"/>
      <c r="E210" s="29"/>
      <c r="F210" s="241" t="s">
        <v>170</v>
      </c>
      <c r="G210" s="60"/>
      <c r="H210" s="224"/>
      <c r="I210" s="224"/>
      <c r="J210" s="60"/>
      <c r="K210" s="224"/>
      <c r="L210" s="60"/>
      <c r="M210" s="183"/>
      <c r="N210" s="198" t="s">
        <v>171</v>
      </c>
    </row>
    <row r="211" spans="1:14" ht="10.5" customHeight="1">
      <c r="A211" s="242" t="s">
        <v>172</v>
      </c>
      <c r="B211" s="243"/>
      <c r="C211" s="183"/>
      <c r="D211" s="244"/>
      <c r="E211" s="29"/>
      <c r="F211" s="245" t="s">
        <v>145</v>
      </c>
      <c r="G211" s="246"/>
      <c r="H211" s="194"/>
      <c r="I211" s="247"/>
      <c r="J211" s="193" t="s">
        <v>173</v>
      </c>
      <c r="K211" s="248"/>
      <c r="L211" s="249" t="s">
        <v>147</v>
      </c>
      <c r="M211" s="183"/>
      <c r="N211" s="250" t="s">
        <v>143</v>
      </c>
    </row>
    <row r="212" spans="1:14" ht="10.5" customHeight="1">
      <c r="A212" s="242" t="s">
        <v>174</v>
      </c>
      <c r="B212" s="251" t="s">
        <v>138</v>
      </c>
      <c r="C212" s="190"/>
      <c r="D212" s="182" t="s">
        <v>175</v>
      </c>
      <c r="E212" s="29"/>
      <c r="F212" s="252" t="s">
        <v>149</v>
      </c>
      <c r="G212" s="59"/>
      <c r="H212" s="219" t="s">
        <v>176</v>
      </c>
      <c r="I212" s="219"/>
      <c r="J212" s="200" t="s">
        <v>177</v>
      </c>
      <c r="K212" s="226"/>
      <c r="L212" s="253" t="s">
        <v>152</v>
      </c>
      <c r="M212" s="183"/>
      <c r="N212" s="254" t="s">
        <v>178</v>
      </c>
    </row>
    <row r="213" spans="1:14" ht="10.5" customHeight="1">
      <c r="A213" s="255" t="s">
        <v>177</v>
      </c>
      <c r="B213" s="256" t="s">
        <v>139</v>
      </c>
      <c r="C213" s="257" t="s">
        <v>140</v>
      </c>
      <c r="D213" s="258" t="s">
        <v>179</v>
      </c>
      <c r="E213" s="204" t="s">
        <v>180</v>
      </c>
      <c r="F213" s="259" t="s">
        <v>181</v>
      </c>
      <c r="G213" s="59"/>
      <c r="H213" s="260" t="s">
        <v>182</v>
      </c>
      <c r="I213" s="260"/>
      <c r="J213" s="206" t="s">
        <v>155</v>
      </c>
      <c r="K213" s="261"/>
      <c r="L213" s="262" t="s">
        <v>183</v>
      </c>
      <c r="M213" s="183"/>
      <c r="N213" s="263" t="s">
        <v>184</v>
      </c>
    </row>
    <row r="214" spans="1:14" ht="10.5" customHeight="1">
      <c r="A214" s="159"/>
      <c r="B214" s="264" t="s">
        <v>159</v>
      </c>
      <c r="C214" s="190" t="s">
        <v>160</v>
      </c>
      <c r="D214" s="182" t="s">
        <v>185</v>
      </c>
      <c r="E214" s="198" t="s">
        <v>162</v>
      </c>
      <c r="F214" s="252" t="s">
        <v>186</v>
      </c>
      <c r="G214" s="59"/>
      <c r="H214" s="219" t="s">
        <v>187</v>
      </c>
      <c r="I214" s="219"/>
      <c r="J214" s="200" t="s">
        <v>188</v>
      </c>
      <c r="K214" s="226"/>
      <c r="L214" s="253" t="s">
        <v>166</v>
      </c>
      <c r="M214" s="180"/>
      <c r="N214" s="182" t="s">
        <v>189</v>
      </c>
    </row>
    <row r="215" spans="1:14" ht="10.5" customHeight="1">
      <c r="A215" s="165"/>
      <c r="B215" s="265"/>
      <c r="C215" s="210"/>
      <c r="D215" s="211"/>
      <c r="E215" s="73"/>
      <c r="F215" s="266"/>
      <c r="G215" s="224"/>
      <c r="H215" s="224"/>
      <c r="I215" s="224"/>
      <c r="J215" s="224"/>
      <c r="K215" s="210"/>
      <c r="L215" s="267"/>
      <c r="M215" s="210"/>
      <c r="N215" s="210"/>
    </row>
    <row r="216" spans="1:14" ht="10.5" customHeight="1">
      <c r="A216" s="242">
        <v>1</v>
      </c>
      <c r="B216" s="268">
        <f>retage</f>
        <v>65</v>
      </c>
      <c r="C216" s="190">
        <f>currentyr+yrsuntilret</f>
        <v>2054</v>
      </c>
      <c r="D216" s="180">
        <f aca="true" t="shared" si="39" ref="D216:D231">IF(B216=" "," ",IF(B216=socsecbenage,socsecactualben,D215*(1+inflation)))</f>
        <v>56695.256852224964</v>
      </c>
      <c r="E216" s="269">
        <f>pension</f>
        <v>2000</v>
      </c>
      <c r="F216" s="252">
        <f>IF(B216=" "," ",MAX(N150:N204))</f>
        <v>776920.4235558476</v>
      </c>
      <c r="G216" s="59"/>
      <c r="H216" s="270">
        <f>MAX(0,E208*MAX(G86:G140)*(1+inflation)-D216-E216)</f>
        <v>36735.72910766433</v>
      </c>
      <c r="I216" s="219"/>
      <c r="J216" s="200">
        <f aca="true" t="shared" si="40" ref="J216:J247">IF(B216=" "," ",(F216-H216)*postretyield)</f>
        <v>37009.234722409165</v>
      </c>
      <c r="K216" s="218"/>
      <c r="L216" s="201">
        <f aca="true" t="shared" si="41" ref="L216:L247">IF(B216=" "," ",F216-H216+J216)</f>
        <v>777193.9291705925</v>
      </c>
      <c r="M216" s="180"/>
      <c r="N216" s="182">
        <f>IF(B216=" "," ",D216+E216+H216)</f>
        <v>95430.9859598893</v>
      </c>
    </row>
    <row r="217" spans="1:14" ht="10.5" customHeight="1">
      <c r="A217" s="242">
        <f>A216+1</f>
        <v>2</v>
      </c>
      <c r="B217" s="268">
        <f>IF(B216&lt;retage+yrsduringret-1,B216+1," ")</f>
        <v>66</v>
      </c>
      <c r="C217" s="190">
        <f>IF(B217=" "," ",C216+1)</f>
        <v>2055</v>
      </c>
      <c r="D217" s="180">
        <f t="shared" si="39"/>
        <v>58679.590842052836</v>
      </c>
      <c r="E217" s="269">
        <f>IF(B217=" "," ",E216*(1+inflation*pensioncola))</f>
        <v>2070</v>
      </c>
      <c r="F217" s="252">
        <f aca="true" t="shared" si="42" ref="F217:F248">IF(B217=" "," ",L216)</f>
        <v>777193.9291705925</v>
      </c>
      <c r="G217" s="59"/>
      <c r="H217" s="219">
        <f>IF(B217=" "," ",MAX(0,MIN(F217,N216*(1+inflation)-D217-E217)))</f>
        <v>38021.47962643258</v>
      </c>
      <c r="I217" s="219"/>
      <c r="J217" s="200">
        <f t="shared" si="40"/>
        <v>36958.622477207995</v>
      </c>
      <c r="K217" s="218"/>
      <c r="L217" s="201">
        <f t="shared" si="41"/>
        <v>776131.072021368</v>
      </c>
      <c r="M217" s="180"/>
      <c r="N217" s="182">
        <f aca="true" t="shared" si="43" ref="N217:N232">IF(B217=" "," ",D217+E217+H217)</f>
        <v>98771.07046848541</v>
      </c>
    </row>
    <row r="218" spans="1:14" ht="10.5" customHeight="1">
      <c r="A218" s="242">
        <f aca="true" t="shared" si="44" ref="A218:A233">A217+1</f>
        <v>3</v>
      </c>
      <c r="B218" s="268">
        <f aca="true" t="shared" si="45" ref="B218:B233">IF(B217&lt;retage+yrsduringret-1,B217+1," ")</f>
        <v>67</v>
      </c>
      <c r="C218" s="190">
        <f aca="true" t="shared" si="46" ref="C218:C233">IF(B218=" "," ",C217+1)</f>
        <v>2056</v>
      </c>
      <c r="D218" s="180">
        <f t="shared" si="39"/>
        <v>60733.37652152468</v>
      </c>
      <c r="E218" s="269">
        <f aca="true" t="shared" si="47" ref="E218:E233">IF(B218=" "," ",E217*(1+inflation*pensioncola))</f>
        <v>2142.45</v>
      </c>
      <c r="F218" s="252">
        <f t="shared" si="42"/>
        <v>776131.072021368</v>
      </c>
      <c r="G218" s="59"/>
      <c r="H218" s="219">
        <f aca="true" t="shared" si="48" ref="H218:H233">IF(B218=" "," ",MAX(0,MIN(F218,N217*(1+inflation)-D218-E218)))</f>
        <v>39352.23141335772</v>
      </c>
      <c r="I218" s="219"/>
      <c r="J218" s="200">
        <f t="shared" si="40"/>
        <v>36838.94203040052</v>
      </c>
      <c r="K218" s="218"/>
      <c r="L218" s="201">
        <f t="shared" si="41"/>
        <v>773617.7826384108</v>
      </c>
      <c r="M218" s="180"/>
      <c r="N218" s="182">
        <f t="shared" si="43"/>
        <v>102228.0579348824</v>
      </c>
    </row>
    <row r="219" spans="1:14" ht="10.5" customHeight="1">
      <c r="A219" s="242">
        <f t="shared" si="44"/>
        <v>4</v>
      </c>
      <c r="B219" s="268">
        <f t="shared" si="45"/>
        <v>68</v>
      </c>
      <c r="C219" s="190">
        <f t="shared" si="46"/>
        <v>2057</v>
      </c>
      <c r="D219" s="180">
        <f t="shared" si="39"/>
        <v>62859.04469977804</v>
      </c>
      <c r="E219" s="269">
        <f t="shared" si="47"/>
        <v>2217.4357499999996</v>
      </c>
      <c r="F219" s="252">
        <f t="shared" si="42"/>
        <v>773617.7826384108</v>
      </c>
      <c r="G219" s="59"/>
      <c r="H219" s="219">
        <f t="shared" si="48"/>
        <v>40729.55951282524</v>
      </c>
      <c r="I219" s="219"/>
      <c r="J219" s="200">
        <f t="shared" si="40"/>
        <v>36644.41115627928</v>
      </c>
      <c r="K219" s="218"/>
      <c r="L219" s="201">
        <f t="shared" si="41"/>
        <v>769532.6342818649</v>
      </c>
      <c r="M219" s="180"/>
      <c r="N219" s="182">
        <f t="shared" si="43"/>
        <v>105806.03996260327</v>
      </c>
    </row>
    <row r="220" spans="1:14" ht="10.5" customHeight="1">
      <c r="A220" s="271">
        <f t="shared" si="44"/>
        <v>5</v>
      </c>
      <c r="B220" s="272">
        <f t="shared" si="45"/>
        <v>69</v>
      </c>
      <c r="C220" s="273">
        <f t="shared" si="46"/>
        <v>2058</v>
      </c>
      <c r="D220" s="210">
        <f t="shared" si="39"/>
        <v>65059.111264270265</v>
      </c>
      <c r="E220" s="274">
        <f t="shared" si="47"/>
        <v>2295.0460012499993</v>
      </c>
      <c r="F220" s="266">
        <f t="shared" si="42"/>
        <v>769532.6342818649</v>
      </c>
      <c r="G220" s="60"/>
      <c r="H220" s="224">
        <f t="shared" si="48"/>
        <v>42155.09409577411</v>
      </c>
      <c r="I220" s="224"/>
      <c r="J220" s="213">
        <f t="shared" si="40"/>
        <v>36368.87700930454</v>
      </c>
      <c r="K220" s="210"/>
      <c r="L220" s="225">
        <f t="shared" si="41"/>
        <v>763746.4171953953</v>
      </c>
      <c r="M220" s="210"/>
      <c r="N220" s="213">
        <f t="shared" si="43"/>
        <v>109509.25136129437</v>
      </c>
    </row>
    <row r="221" spans="1:14" ht="10.5" customHeight="1">
      <c r="A221" s="242">
        <f t="shared" si="44"/>
        <v>6</v>
      </c>
      <c r="B221" s="268">
        <f t="shared" si="45"/>
        <v>70</v>
      </c>
      <c r="C221" s="190">
        <f t="shared" si="46"/>
        <v>2059</v>
      </c>
      <c r="D221" s="180">
        <f t="shared" si="39"/>
        <v>67336.18015851972</v>
      </c>
      <c r="E221" s="269">
        <f t="shared" si="47"/>
        <v>2375.3726112937493</v>
      </c>
      <c r="F221" s="252">
        <f t="shared" si="42"/>
        <v>763746.4171953953</v>
      </c>
      <c r="G221" s="59"/>
      <c r="H221" s="219">
        <f t="shared" si="48"/>
        <v>43630.52238912619</v>
      </c>
      <c r="I221" s="219"/>
      <c r="J221" s="200">
        <f t="shared" si="40"/>
        <v>36005.79474031345</v>
      </c>
      <c r="K221" s="218"/>
      <c r="L221" s="201">
        <f t="shared" si="41"/>
        <v>756121.6895465825</v>
      </c>
      <c r="M221" s="180"/>
      <c r="N221" s="182">
        <f t="shared" si="43"/>
        <v>113342.07515893967</v>
      </c>
    </row>
    <row r="222" spans="1:14" ht="10.5" customHeight="1">
      <c r="A222" s="242">
        <f t="shared" si="44"/>
        <v>7</v>
      </c>
      <c r="B222" s="268">
        <f t="shared" si="45"/>
        <v>71</v>
      </c>
      <c r="C222" s="190">
        <f t="shared" si="46"/>
        <v>2060</v>
      </c>
      <c r="D222" s="180">
        <f t="shared" si="39"/>
        <v>69692.9464640679</v>
      </c>
      <c r="E222" s="269">
        <f t="shared" si="47"/>
        <v>2458.5106526890304</v>
      </c>
      <c r="F222" s="252">
        <f t="shared" si="42"/>
        <v>756121.6895465825</v>
      </c>
      <c r="G222" s="59"/>
      <c r="H222" s="219">
        <f t="shared" si="48"/>
        <v>45157.59067274562</v>
      </c>
      <c r="I222" s="219"/>
      <c r="J222" s="200">
        <f t="shared" si="40"/>
        <v>35548.204943691846</v>
      </c>
      <c r="K222" s="218"/>
      <c r="L222" s="201">
        <f t="shared" si="41"/>
        <v>746512.3038175288</v>
      </c>
      <c r="M222" s="180"/>
      <c r="N222" s="182">
        <f t="shared" si="43"/>
        <v>117309.04778950255</v>
      </c>
    </row>
    <row r="223" spans="1:14" ht="10.5" customHeight="1">
      <c r="A223" s="242">
        <f t="shared" si="44"/>
        <v>8</v>
      </c>
      <c r="B223" s="268">
        <f t="shared" si="45"/>
        <v>72</v>
      </c>
      <c r="C223" s="190">
        <f t="shared" si="46"/>
        <v>2061</v>
      </c>
      <c r="D223" s="180">
        <f t="shared" si="39"/>
        <v>72132.19959031028</v>
      </c>
      <c r="E223" s="269">
        <f t="shared" si="47"/>
        <v>2544.558525533146</v>
      </c>
      <c r="F223" s="252">
        <f t="shared" si="42"/>
        <v>746512.3038175288</v>
      </c>
      <c r="G223" s="59"/>
      <c r="H223" s="219">
        <f t="shared" si="48"/>
        <v>46738.106346291715</v>
      </c>
      <c r="I223" s="219"/>
      <c r="J223" s="200">
        <f t="shared" si="40"/>
        <v>34988.70987356186</v>
      </c>
      <c r="K223" s="218"/>
      <c r="L223" s="201">
        <f t="shared" si="41"/>
        <v>734762.9073447989</v>
      </c>
      <c r="M223" s="180"/>
      <c r="N223" s="182">
        <f t="shared" si="43"/>
        <v>121414.86446213516</v>
      </c>
    </row>
    <row r="224" spans="1:14" ht="10.5" customHeight="1">
      <c r="A224" s="242">
        <f t="shared" si="44"/>
        <v>9</v>
      </c>
      <c r="B224" s="268">
        <f t="shared" si="45"/>
        <v>73</v>
      </c>
      <c r="C224" s="190">
        <f t="shared" si="46"/>
        <v>2062</v>
      </c>
      <c r="D224" s="180">
        <f t="shared" si="39"/>
        <v>74656.82657597114</v>
      </c>
      <c r="E224" s="269">
        <f t="shared" si="47"/>
        <v>2633.618073926806</v>
      </c>
      <c r="F224" s="252">
        <f t="shared" si="42"/>
        <v>734762.9073447989</v>
      </c>
      <c r="G224" s="59"/>
      <c r="H224" s="219">
        <f t="shared" si="48"/>
        <v>48373.940068411925</v>
      </c>
      <c r="I224" s="219"/>
      <c r="J224" s="200">
        <f t="shared" si="40"/>
        <v>34319.448363819356</v>
      </c>
      <c r="K224" s="218"/>
      <c r="L224" s="201">
        <f t="shared" si="41"/>
        <v>720708.4156402064</v>
      </c>
      <c r="M224" s="180"/>
      <c r="N224" s="182">
        <f t="shared" si="43"/>
        <v>125664.38471830986</v>
      </c>
    </row>
    <row r="225" spans="1:14" ht="10.5" customHeight="1">
      <c r="A225" s="271">
        <f t="shared" si="44"/>
        <v>10</v>
      </c>
      <c r="B225" s="272">
        <f t="shared" si="45"/>
        <v>74</v>
      </c>
      <c r="C225" s="273">
        <f t="shared" si="46"/>
        <v>2063</v>
      </c>
      <c r="D225" s="210">
        <f t="shared" si="39"/>
        <v>77269.81550613012</v>
      </c>
      <c r="E225" s="274">
        <f t="shared" si="47"/>
        <v>2725.794706514244</v>
      </c>
      <c r="F225" s="266">
        <f t="shared" si="42"/>
        <v>720708.4156402064</v>
      </c>
      <c r="G225" s="60"/>
      <c r="H225" s="224">
        <f t="shared" si="48"/>
        <v>50067.027970806324</v>
      </c>
      <c r="I225" s="224"/>
      <c r="J225" s="213">
        <f t="shared" si="40"/>
        <v>33532.06938347001</v>
      </c>
      <c r="K225" s="210"/>
      <c r="L225" s="225">
        <f t="shared" si="41"/>
        <v>704173.4570528701</v>
      </c>
      <c r="M225" s="210"/>
      <c r="N225" s="213">
        <f t="shared" si="43"/>
        <v>130062.6381834507</v>
      </c>
    </row>
    <row r="226" spans="1:14" ht="10.5" customHeight="1">
      <c r="A226" s="242">
        <f t="shared" si="44"/>
        <v>11</v>
      </c>
      <c r="B226" s="268">
        <f t="shared" si="45"/>
        <v>75</v>
      </c>
      <c r="C226" s="190">
        <f t="shared" si="46"/>
        <v>2064</v>
      </c>
      <c r="D226" s="180">
        <f t="shared" si="39"/>
        <v>79974.25904884467</v>
      </c>
      <c r="E226" s="269">
        <f t="shared" si="47"/>
        <v>2821.197521242242</v>
      </c>
      <c r="F226" s="252">
        <f t="shared" si="42"/>
        <v>704173.4570528701</v>
      </c>
      <c r="G226" s="59"/>
      <c r="H226" s="219">
        <f t="shared" si="48"/>
        <v>51819.37394978455</v>
      </c>
      <c r="I226" s="219"/>
      <c r="J226" s="200">
        <f t="shared" si="40"/>
        <v>32617.70415515428</v>
      </c>
      <c r="K226" s="218"/>
      <c r="L226" s="201">
        <f t="shared" si="41"/>
        <v>684971.7872582398</v>
      </c>
      <c r="M226" s="180"/>
      <c r="N226" s="182">
        <f t="shared" si="43"/>
        <v>134614.83051987147</v>
      </c>
    </row>
    <row r="227" spans="1:14" ht="10.5" customHeight="1">
      <c r="A227" s="242">
        <f t="shared" si="44"/>
        <v>12</v>
      </c>
      <c r="B227" s="268">
        <f t="shared" si="45"/>
        <v>76</v>
      </c>
      <c r="C227" s="190">
        <f t="shared" si="46"/>
        <v>2065</v>
      </c>
      <c r="D227" s="180">
        <f t="shared" si="39"/>
        <v>82773.35811555423</v>
      </c>
      <c r="E227" s="269">
        <f t="shared" si="47"/>
        <v>2919.9394344857205</v>
      </c>
      <c r="F227" s="252">
        <f t="shared" si="42"/>
        <v>684971.7872582398</v>
      </c>
      <c r="G227" s="59"/>
      <c r="H227" s="219">
        <f t="shared" si="48"/>
        <v>53633.052038026995</v>
      </c>
      <c r="I227" s="219"/>
      <c r="J227" s="200">
        <f t="shared" si="40"/>
        <v>31566.936761010642</v>
      </c>
      <c r="K227" s="218"/>
      <c r="L227" s="201">
        <f t="shared" si="41"/>
        <v>662905.6719812235</v>
      </c>
      <c r="M227" s="180"/>
      <c r="N227" s="182">
        <f t="shared" si="43"/>
        <v>139326.34958806695</v>
      </c>
    </row>
    <row r="228" spans="1:14" ht="10.5" customHeight="1">
      <c r="A228" s="242">
        <f t="shared" si="44"/>
        <v>13</v>
      </c>
      <c r="B228" s="268">
        <f t="shared" si="45"/>
        <v>77</v>
      </c>
      <c r="C228" s="190">
        <f t="shared" si="46"/>
        <v>2066</v>
      </c>
      <c r="D228" s="180">
        <f t="shared" si="39"/>
        <v>85670.42564959862</v>
      </c>
      <c r="E228" s="269">
        <f t="shared" si="47"/>
        <v>3022.1373146927203</v>
      </c>
      <c r="F228" s="252">
        <f t="shared" si="42"/>
        <v>662905.6719812235</v>
      </c>
      <c r="G228" s="59"/>
      <c r="H228" s="219">
        <f t="shared" si="48"/>
        <v>55510.208859357954</v>
      </c>
      <c r="I228" s="219"/>
      <c r="J228" s="200">
        <f t="shared" si="40"/>
        <v>30369.773156093277</v>
      </c>
      <c r="K228" s="218"/>
      <c r="L228" s="201">
        <f t="shared" si="41"/>
        <v>637765.2362779588</v>
      </c>
      <c r="M228" s="180"/>
      <c r="N228" s="182">
        <f t="shared" si="43"/>
        <v>144202.7718236493</v>
      </c>
    </row>
    <row r="229" spans="1:14" ht="10.5" customHeight="1">
      <c r="A229" s="242">
        <f t="shared" si="44"/>
        <v>14</v>
      </c>
      <c r="B229" s="268">
        <f t="shared" si="45"/>
        <v>78</v>
      </c>
      <c r="C229" s="190">
        <f t="shared" si="46"/>
        <v>2067</v>
      </c>
      <c r="D229" s="180">
        <f t="shared" si="39"/>
        <v>88668.89054733457</v>
      </c>
      <c r="E229" s="269">
        <f t="shared" si="47"/>
        <v>3127.912120706965</v>
      </c>
      <c r="F229" s="252">
        <f t="shared" si="42"/>
        <v>637765.2362779588</v>
      </c>
      <c r="G229" s="59"/>
      <c r="H229" s="219">
        <f t="shared" si="48"/>
        <v>57453.06616943547</v>
      </c>
      <c r="I229" s="219"/>
      <c r="J229" s="200">
        <f t="shared" si="40"/>
        <v>29015.608505426168</v>
      </c>
      <c r="K229" s="218"/>
      <c r="L229" s="201">
        <f t="shared" si="41"/>
        <v>609327.7786139495</v>
      </c>
      <c r="M229" s="180"/>
      <c r="N229" s="182">
        <f t="shared" si="43"/>
        <v>149249.868837477</v>
      </c>
    </row>
    <row r="230" spans="1:14" ht="10.5" customHeight="1">
      <c r="A230" s="271">
        <f t="shared" si="44"/>
        <v>15</v>
      </c>
      <c r="B230" s="272">
        <f t="shared" si="45"/>
        <v>79</v>
      </c>
      <c r="C230" s="273">
        <f t="shared" si="46"/>
        <v>2068</v>
      </c>
      <c r="D230" s="210">
        <f t="shared" si="39"/>
        <v>91772.30171649127</v>
      </c>
      <c r="E230" s="274">
        <f t="shared" si="47"/>
        <v>3237.3890449317087</v>
      </c>
      <c r="F230" s="266">
        <f t="shared" si="42"/>
        <v>609327.7786139495</v>
      </c>
      <c r="G230" s="60"/>
      <c r="H230" s="224">
        <f t="shared" si="48"/>
        <v>59463.92348536568</v>
      </c>
      <c r="I230" s="224"/>
      <c r="J230" s="213">
        <f t="shared" si="40"/>
        <v>27493.192756429195</v>
      </c>
      <c r="K230" s="210"/>
      <c r="L230" s="225">
        <f t="shared" si="41"/>
        <v>577357.047885013</v>
      </c>
      <c r="M230" s="210"/>
      <c r="N230" s="213">
        <f t="shared" si="43"/>
        <v>154473.61424678867</v>
      </c>
    </row>
    <row r="231" spans="1:14" ht="10.5" customHeight="1">
      <c r="A231" s="242">
        <f t="shared" si="44"/>
        <v>16</v>
      </c>
      <c r="B231" s="268">
        <f t="shared" si="45"/>
        <v>80</v>
      </c>
      <c r="C231" s="190">
        <f t="shared" si="46"/>
        <v>2069</v>
      </c>
      <c r="D231" s="180">
        <f t="shared" si="39"/>
        <v>94984.33227656846</v>
      </c>
      <c r="E231" s="269">
        <f t="shared" si="47"/>
        <v>3350.697661504318</v>
      </c>
      <c r="F231" s="252">
        <f t="shared" si="42"/>
        <v>577357.047885013</v>
      </c>
      <c r="G231" s="59"/>
      <c r="H231" s="219">
        <f t="shared" si="48"/>
        <v>61545.16080735348</v>
      </c>
      <c r="I231" s="219"/>
      <c r="J231" s="200">
        <f t="shared" si="40"/>
        <v>25790.594353882978</v>
      </c>
      <c r="K231" s="218"/>
      <c r="L231" s="201">
        <f t="shared" si="41"/>
        <v>541602.4814315425</v>
      </c>
      <c r="M231" s="180"/>
      <c r="N231" s="182">
        <f t="shared" si="43"/>
        <v>159880.19074542625</v>
      </c>
    </row>
    <row r="232" spans="1:14" ht="10.5" customHeight="1">
      <c r="A232" s="242">
        <f t="shared" si="44"/>
        <v>17</v>
      </c>
      <c r="B232" s="268">
        <f t="shared" si="45"/>
        <v>81</v>
      </c>
      <c r="C232" s="190">
        <f t="shared" si="46"/>
        <v>2070</v>
      </c>
      <c r="D232" s="180">
        <f aca="true" t="shared" si="49" ref="D232:D247">IF(B232=" "," ",IF(B232=socsecbenage,socsecactualben,D231*(1+inflation)))</f>
        <v>98308.78390624834</v>
      </c>
      <c r="E232" s="269">
        <f t="shared" si="47"/>
        <v>3467.972079656969</v>
      </c>
      <c r="F232" s="252">
        <f t="shared" si="42"/>
        <v>541602.4814315425</v>
      </c>
      <c r="G232" s="59"/>
      <c r="H232" s="219">
        <f t="shared" si="48"/>
        <v>63699.24143561086</v>
      </c>
      <c r="I232" s="219"/>
      <c r="J232" s="200">
        <f t="shared" si="40"/>
        <v>23895.161999796586</v>
      </c>
      <c r="K232" s="218"/>
      <c r="L232" s="201">
        <f t="shared" si="41"/>
        <v>501798.40199572826</v>
      </c>
      <c r="M232" s="180"/>
      <c r="N232" s="182">
        <f t="shared" si="43"/>
        <v>165475.99742151616</v>
      </c>
    </row>
    <row r="233" spans="1:14" ht="10.5" customHeight="1">
      <c r="A233" s="242">
        <f t="shared" si="44"/>
        <v>18</v>
      </c>
      <c r="B233" s="268">
        <f t="shared" si="45"/>
        <v>82</v>
      </c>
      <c r="C233" s="190">
        <f t="shared" si="46"/>
        <v>2071</v>
      </c>
      <c r="D233" s="180">
        <f t="shared" si="49"/>
        <v>101749.59134296702</v>
      </c>
      <c r="E233" s="269">
        <f t="shared" si="47"/>
        <v>3589.3511024449626</v>
      </c>
      <c r="F233" s="252">
        <f t="shared" si="42"/>
        <v>501798.40199572826</v>
      </c>
      <c r="G233" s="59"/>
      <c r="H233" s="219">
        <f t="shared" si="48"/>
        <v>65928.71488585722</v>
      </c>
      <c r="I233" s="219"/>
      <c r="J233" s="200">
        <f t="shared" si="40"/>
        <v>21793.484355493554</v>
      </c>
      <c r="K233" s="218"/>
      <c r="L233" s="201">
        <f t="shared" si="41"/>
        <v>457663.17146536463</v>
      </c>
      <c r="M233" s="180"/>
      <c r="N233" s="182">
        <f aca="true" t="shared" si="50" ref="N233:N248">IF(B233=" "," ",D233+E233+H233)</f>
        <v>171267.6573312692</v>
      </c>
    </row>
    <row r="234" spans="1:14" ht="10.5" customHeight="1">
      <c r="A234" s="242">
        <f aca="true" t="shared" si="51" ref="A234:A249">A233+1</f>
        <v>19</v>
      </c>
      <c r="B234" s="268">
        <f aca="true" t="shared" si="52" ref="B234:B249">IF(B233&lt;retage+yrsduringret-1,B233+1," ")</f>
        <v>83</v>
      </c>
      <c r="C234" s="190">
        <f aca="true" t="shared" si="53" ref="C234:C249">IF(B234=" "," ",C233+1)</f>
        <v>2072</v>
      </c>
      <c r="D234" s="180">
        <f t="shared" si="49"/>
        <v>105310.82703997086</v>
      </c>
      <c r="E234" s="269">
        <f aca="true" t="shared" si="54" ref="E234:E249">IF(B234=" "," ",E233*(1+inflation*pensioncola))</f>
        <v>3714.978391030536</v>
      </c>
      <c r="F234" s="252">
        <f t="shared" si="42"/>
        <v>457663.17146536463</v>
      </c>
      <c r="G234" s="59"/>
      <c r="H234" s="219">
        <f aca="true" t="shared" si="55" ref="H234:H249">IF(B234=" "," ",MAX(0,MIN(F234,N233*(1+inflation)-D234-E234)))</f>
        <v>68236.21990686223</v>
      </c>
      <c r="I234" s="219"/>
      <c r="J234" s="200">
        <f t="shared" si="40"/>
        <v>19471.34757792512</v>
      </c>
      <c r="K234" s="218"/>
      <c r="L234" s="201">
        <f t="shared" si="41"/>
        <v>408898.2991364275</v>
      </c>
      <c r="M234" s="180"/>
      <c r="N234" s="182">
        <f t="shared" si="50"/>
        <v>177262.02533786363</v>
      </c>
    </row>
    <row r="235" spans="1:14" ht="10.5" customHeight="1">
      <c r="A235" s="271">
        <f t="shared" si="51"/>
        <v>20</v>
      </c>
      <c r="B235" s="272">
        <f t="shared" si="52"/>
        <v>84</v>
      </c>
      <c r="C235" s="273">
        <f t="shared" si="53"/>
        <v>2073</v>
      </c>
      <c r="D235" s="210">
        <f t="shared" si="49"/>
        <v>108996.70598636982</v>
      </c>
      <c r="E235" s="274">
        <f t="shared" si="54"/>
        <v>3845.0026347166045</v>
      </c>
      <c r="F235" s="266">
        <f t="shared" si="42"/>
        <v>408898.2991364275</v>
      </c>
      <c r="G235" s="60"/>
      <c r="H235" s="224">
        <f t="shared" si="55"/>
        <v>70624.48760360242</v>
      </c>
      <c r="I235" s="224"/>
      <c r="J235" s="213">
        <f t="shared" si="40"/>
        <v>16913.690576641256</v>
      </c>
      <c r="K235" s="210"/>
      <c r="L235" s="225">
        <f t="shared" si="41"/>
        <v>355187.50210946635</v>
      </c>
      <c r="M235" s="210"/>
      <c r="N235" s="213">
        <f t="shared" si="50"/>
        <v>183466.19622468884</v>
      </c>
    </row>
    <row r="236" spans="1:14" ht="10.5" customHeight="1">
      <c r="A236" s="242">
        <f t="shared" si="51"/>
        <v>21</v>
      </c>
      <c r="B236" s="268">
        <f t="shared" si="52"/>
        <v>85</v>
      </c>
      <c r="C236" s="190">
        <f t="shared" si="53"/>
        <v>2074</v>
      </c>
      <c r="D236" s="180">
        <f t="shared" si="49"/>
        <v>112811.59069589275</v>
      </c>
      <c r="E236" s="269">
        <f t="shared" si="54"/>
        <v>3979.5777269316854</v>
      </c>
      <c r="F236" s="252">
        <f t="shared" si="42"/>
        <v>355187.50210946635</v>
      </c>
      <c r="G236" s="59"/>
      <c r="H236" s="219">
        <f t="shared" si="55"/>
        <v>73096.34466972851</v>
      </c>
      <c r="I236" s="219"/>
      <c r="J236" s="200">
        <f t="shared" si="40"/>
        <v>14104.557871986892</v>
      </c>
      <c r="K236" s="218"/>
      <c r="L236" s="201">
        <f t="shared" si="41"/>
        <v>296195.7153117247</v>
      </c>
      <c r="M236" s="180"/>
      <c r="N236" s="182">
        <f t="shared" si="50"/>
        <v>189887.51309255295</v>
      </c>
    </row>
    <row r="237" spans="1:14" ht="10.5" customHeight="1">
      <c r="A237" s="242">
        <f t="shared" si="51"/>
        <v>22</v>
      </c>
      <c r="B237" s="268">
        <f t="shared" si="52"/>
        <v>86</v>
      </c>
      <c r="C237" s="190">
        <f t="shared" si="53"/>
        <v>2075</v>
      </c>
      <c r="D237" s="180">
        <f t="shared" si="49"/>
        <v>116759.99637024899</v>
      </c>
      <c r="E237" s="269">
        <f t="shared" si="54"/>
        <v>4118.862947374294</v>
      </c>
      <c r="F237" s="252">
        <f t="shared" si="42"/>
        <v>296195.7153117247</v>
      </c>
      <c r="G237" s="59"/>
      <c r="H237" s="219">
        <f t="shared" si="55"/>
        <v>75654.71673316901</v>
      </c>
      <c r="I237" s="219"/>
      <c r="J237" s="200">
        <f t="shared" si="40"/>
        <v>11027.049928927785</v>
      </c>
      <c r="K237" s="218"/>
      <c r="L237" s="201">
        <f t="shared" si="41"/>
        <v>231568.04850748347</v>
      </c>
      <c r="M237" s="180"/>
      <c r="N237" s="182">
        <f t="shared" si="50"/>
        <v>196533.5760507923</v>
      </c>
    </row>
    <row r="238" spans="1:14" ht="10.5" customHeight="1">
      <c r="A238" s="242">
        <f t="shared" si="51"/>
        <v>23</v>
      </c>
      <c r="B238" s="268">
        <f t="shared" si="52"/>
        <v>87</v>
      </c>
      <c r="C238" s="190">
        <f t="shared" si="53"/>
        <v>2076</v>
      </c>
      <c r="D238" s="180">
        <f t="shared" si="49"/>
        <v>120846.59624320769</v>
      </c>
      <c r="E238" s="269">
        <f t="shared" si="54"/>
        <v>4263.023150532394</v>
      </c>
      <c r="F238" s="252">
        <f t="shared" si="42"/>
        <v>231568.04850748347</v>
      </c>
      <c r="G238" s="59"/>
      <c r="H238" s="219">
        <f t="shared" si="55"/>
        <v>78302.63181882992</v>
      </c>
      <c r="I238" s="219"/>
      <c r="J238" s="200">
        <f t="shared" si="40"/>
        <v>7663.270834432678</v>
      </c>
      <c r="K238" s="218"/>
      <c r="L238" s="201">
        <f t="shared" si="41"/>
        <v>160928.68752308624</v>
      </c>
      <c r="M238" s="180"/>
      <c r="N238" s="182">
        <f t="shared" si="50"/>
        <v>203412.25121257</v>
      </c>
    </row>
    <row r="239" spans="1:14" ht="10.5" customHeight="1">
      <c r="A239" s="242">
        <f t="shared" si="51"/>
        <v>24</v>
      </c>
      <c r="B239" s="268">
        <f t="shared" si="52"/>
        <v>88</v>
      </c>
      <c r="C239" s="190">
        <f t="shared" si="53"/>
        <v>2077</v>
      </c>
      <c r="D239" s="180">
        <f t="shared" si="49"/>
        <v>125076.22711171996</v>
      </c>
      <c r="E239" s="269">
        <f t="shared" si="54"/>
        <v>4412.228960801027</v>
      </c>
      <c r="F239" s="252">
        <f t="shared" si="42"/>
        <v>160928.68752308624</v>
      </c>
      <c r="G239" s="59"/>
      <c r="H239" s="219">
        <f t="shared" si="55"/>
        <v>81043.22393248894</v>
      </c>
      <c r="I239" s="219"/>
      <c r="J239" s="200">
        <f t="shared" si="40"/>
        <v>3994.273179529865</v>
      </c>
      <c r="K239" s="218"/>
      <c r="L239" s="201">
        <f t="shared" si="41"/>
        <v>83879.73677012716</v>
      </c>
      <c r="M239" s="180"/>
      <c r="N239" s="182">
        <f t="shared" si="50"/>
        <v>210531.68000500993</v>
      </c>
    </row>
    <row r="240" spans="1:14" ht="10.5" customHeight="1">
      <c r="A240" s="271">
        <f t="shared" si="51"/>
        <v>25</v>
      </c>
      <c r="B240" s="272">
        <f t="shared" si="52"/>
        <v>89</v>
      </c>
      <c r="C240" s="273">
        <f t="shared" si="53"/>
        <v>2078</v>
      </c>
      <c r="D240" s="210">
        <f t="shared" si="49"/>
        <v>129453.89506063015</v>
      </c>
      <c r="E240" s="274">
        <f t="shared" si="54"/>
        <v>4566.656974429063</v>
      </c>
      <c r="F240" s="266">
        <f t="shared" si="42"/>
        <v>83879.73677012716</v>
      </c>
      <c r="G240" s="60"/>
      <c r="H240" s="224">
        <f t="shared" si="55"/>
        <v>83879.73677012605</v>
      </c>
      <c r="I240" s="224"/>
      <c r="J240" s="213">
        <f t="shared" si="40"/>
        <v>5.529727786779404E-11</v>
      </c>
      <c r="K240" s="210"/>
      <c r="L240" s="225">
        <f t="shared" si="41"/>
        <v>1.1612428352236747E-09</v>
      </c>
      <c r="M240" s="210"/>
      <c r="N240" s="213">
        <f t="shared" si="50"/>
        <v>217900.2888051853</v>
      </c>
    </row>
    <row r="241" spans="1:14" ht="10.5" customHeight="1">
      <c r="A241" s="242">
        <f t="shared" si="51"/>
        <v>26</v>
      </c>
      <c r="B241" s="268" t="str">
        <f t="shared" si="52"/>
        <v> </v>
      </c>
      <c r="C241" s="190" t="str">
        <f t="shared" si="53"/>
        <v> </v>
      </c>
      <c r="D241" s="180" t="str">
        <f t="shared" si="49"/>
        <v> </v>
      </c>
      <c r="E241" s="269" t="str">
        <f t="shared" si="54"/>
        <v> </v>
      </c>
      <c r="F241" s="252" t="str">
        <f t="shared" si="42"/>
        <v> </v>
      </c>
      <c r="G241" s="59"/>
      <c r="H241" s="219" t="str">
        <f t="shared" si="55"/>
        <v> </v>
      </c>
      <c r="I241" s="219"/>
      <c r="J241" s="200" t="str">
        <f t="shared" si="40"/>
        <v> </v>
      </c>
      <c r="K241" s="218"/>
      <c r="L241" s="201" t="str">
        <f t="shared" si="41"/>
        <v> </v>
      </c>
      <c r="M241" s="180"/>
      <c r="N241" s="182" t="str">
        <f t="shared" si="50"/>
        <v> </v>
      </c>
    </row>
    <row r="242" spans="1:14" ht="10.5" customHeight="1">
      <c r="A242" s="242">
        <f t="shared" si="51"/>
        <v>27</v>
      </c>
      <c r="B242" s="268" t="str">
        <f t="shared" si="52"/>
        <v> </v>
      </c>
      <c r="C242" s="190" t="str">
        <f t="shared" si="53"/>
        <v> </v>
      </c>
      <c r="D242" s="180" t="str">
        <f t="shared" si="49"/>
        <v> </v>
      </c>
      <c r="E242" s="269" t="str">
        <f t="shared" si="54"/>
        <v> </v>
      </c>
      <c r="F242" s="252" t="str">
        <f t="shared" si="42"/>
        <v> </v>
      </c>
      <c r="G242" s="59"/>
      <c r="H242" s="219" t="str">
        <f t="shared" si="55"/>
        <v> </v>
      </c>
      <c r="I242" s="219"/>
      <c r="J242" s="200" t="str">
        <f t="shared" si="40"/>
        <v> </v>
      </c>
      <c r="K242" s="218"/>
      <c r="L242" s="201" t="str">
        <f t="shared" si="41"/>
        <v> </v>
      </c>
      <c r="M242" s="180"/>
      <c r="N242" s="182" t="str">
        <f t="shared" si="50"/>
        <v> </v>
      </c>
    </row>
    <row r="243" spans="1:14" ht="10.5" customHeight="1">
      <c r="A243" s="242">
        <f t="shared" si="51"/>
        <v>28</v>
      </c>
      <c r="B243" s="268" t="str">
        <f t="shared" si="52"/>
        <v> </v>
      </c>
      <c r="C243" s="190" t="str">
        <f t="shared" si="53"/>
        <v> </v>
      </c>
      <c r="D243" s="180" t="str">
        <f t="shared" si="49"/>
        <v> </v>
      </c>
      <c r="E243" s="269" t="str">
        <f t="shared" si="54"/>
        <v> </v>
      </c>
      <c r="F243" s="252" t="str">
        <f t="shared" si="42"/>
        <v> </v>
      </c>
      <c r="G243" s="59"/>
      <c r="H243" s="219" t="str">
        <f t="shared" si="55"/>
        <v> </v>
      </c>
      <c r="I243" s="219"/>
      <c r="J243" s="200" t="str">
        <f t="shared" si="40"/>
        <v> </v>
      </c>
      <c r="K243" s="218"/>
      <c r="L243" s="201" t="str">
        <f t="shared" si="41"/>
        <v> </v>
      </c>
      <c r="M243" s="180"/>
      <c r="N243" s="182" t="str">
        <f t="shared" si="50"/>
        <v> </v>
      </c>
    </row>
    <row r="244" spans="1:14" ht="10.5" customHeight="1">
      <c r="A244" s="242">
        <f t="shared" si="51"/>
        <v>29</v>
      </c>
      <c r="B244" s="268" t="str">
        <f t="shared" si="52"/>
        <v> </v>
      </c>
      <c r="C244" s="190" t="str">
        <f t="shared" si="53"/>
        <v> </v>
      </c>
      <c r="D244" s="180" t="str">
        <f t="shared" si="49"/>
        <v> </v>
      </c>
      <c r="E244" s="269" t="str">
        <f t="shared" si="54"/>
        <v> </v>
      </c>
      <c r="F244" s="252" t="str">
        <f t="shared" si="42"/>
        <v> </v>
      </c>
      <c r="G244" s="59"/>
      <c r="H244" s="219" t="str">
        <f t="shared" si="55"/>
        <v> </v>
      </c>
      <c r="I244" s="219"/>
      <c r="J244" s="200" t="str">
        <f t="shared" si="40"/>
        <v> </v>
      </c>
      <c r="K244" s="218"/>
      <c r="L244" s="201" t="str">
        <f t="shared" si="41"/>
        <v> </v>
      </c>
      <c r="M244" s="180"/>
      <c r="N244" s="182" t="str">
        <f t="shared" si="50"/>
        <v> </v>
      </c>
    </row>
    <row r="245" spans="1:14" ht="10.5" customHeight="1">
      <c r="A245" s="271">
        <f t="shared" si="51"/>
        <v>30</v>
      </c>
      <c r="B245" s="272" t="str">
        <f t="shared" si="52"/>
        <v> </v>
      </c>
      <c r="C245" s="273" t="str">
        <f t="shared" si="53"/>
        <v> </v>
      </c>
      <c r="D245" s="210" t="str">
        <f t="shared" si="49"/>
        <v> </v>
      </c>
      <c r="E245" s="274" t="str">
        <f t="shared" si="54"/>
        <v> </v>
      </c>
      <c r="F245" s="266" t="str">
        <f t="shared" si="42"/>
        <v> </v>
      </c>
      <c r="G245" s="60"/>
      <c r="H245" s="224" t="str">
        <f t="shared" si="55"/>
        <v> </v>
      </c>
      <c r="I245" s="224"/>
      <c r="J245" s="213" t="str">
        <f t="shared" si="40"/>
        <v> </v>
      </c>
      <c r="K245" s="210"/>
      <c r="L245" s="225" t="str">
        <f t="shared" si="41"/>
        <v> </v>
      </c>
      <c r="M245" s="210"/>
      <c r="N245" s="213" t="str">
        <f t="shared" si="50"/>
        <v> </v>
      </c>
    </row>
    <row r="246" spans="1:14" ht="10.5" customHeight="1">
      <c r="A246" s="242">
        <f t="shared" si="51"/>
        <v>31</v>
      </c>
      <c r="B246" s="268" t="str">
        <f t="shared" si="52"/>
        <v> </v>
      </c>
      <c r="C246" s="190" t="str">
        <f t="shared" si="53"/>
        <v> </v>
      </c>
      <c r="D246" s="180" t="str">
        <f t="shared" si="49"/>
        <v> </v>
      </c>
      <c r="E246" s="269" t="str">
        <f t="shared" si="54"/>
        <v> </v>
      </c>
      <c r="F246" s="252" t="str">
        <f t="shared" si="42"/>
        <v> </v>
      </c>
      <c r="G246" s="59"/>
      <c r="H246" s="219" t="str">
        <f t="shared" si="55"/>
        <v> </v>
      </c>
      <c r="I246" s="219"/>
      <c r="J246" s="200" t="str">
        <f t="shared" si="40"/>
        <v> </v>
      </c>
      <c r="K246" s="218"/>
      <c r="L246" s="201" t="str">
        <f t="shared" si="41"/>
        <v> </v>
      </c>
      <c r="M246" s="180"/>
      <c r="N246" s="182" t="str">
        <f t="shared" si="50"/>
        <v> </v>
      </c>
    </row>
    <row r="247" spans="1:14" ht="10.5" customHeight="1">
      <c r="A247" s="242">
        <f t="shared" si="51"/>
        <v>32</v>
      </c>
      <c r="B247" s="268" t="str">
        <f t="shared" si="52"/>
        <v> </v>
      </c>
      <c r="C247" s="190" t="str">
        <f t="shared" si="53"/>
        <v> </v>
      </c>
      <c r="D247" s="180" t="str">
        <f t="shared" si="49"/>
        <v> </v>
      </c>
      <c r="E247" s="269" t="str">
        <f t="shared" si="54"/>
        <v> </v>
      </c>
      <c r="F247" s="252" t="str">
        <f t="shared" si="42"/>
        <v> </v>
      </c>
      <c r="G247" s="59"/>
      <c r="H247" s="219" t="str">
        <f t="shared" si="55"/>
        <v> </v>
      </c>
      <c r="I247" s="219"/>
      <c r="J247" s="200" t="str">
        <f t="shared" si="40"/>
        <v> </v>
      </c>
      <c r="K247" s="218"/>
      <c r="L247" s="201" t="str">
        <f t="shared" si="41"/>
        <v> </v>
      </c>
      <c r="M247" s="180"/>
      <c r="N247" s="182" t="str">
        <f t="shared" si="50"/>
        <v> </v>
      </c>
    </row>
    <row r="248" spans="1:14" ht="10.5" customHeight="1">
      <c r="A248" s="242">
        <f t="shared" si="51"/>
        <v>33</v>
      </c>
      <c r="B248" s="268" t="str">
        <f t="shared" si="52"/>
        <v> </v>
      </c>
      <c r="C248" s="190" t="str">
        <f t="shared" si="53"/>
        <v> </v>
      </c>
      <c r="D248" s="180" t="str">
        <f aca="true" t="shared" si="56" ref="D248:D263">IF(B248=" "," ",IF(B248=socsecbenage,socsecactualben,D247*(1+inflation)))</f>
        <v> </v>
      </c>
      <c r="E248" s="269" t="str">
        <f t="shared" si="54"/>
        <v> </v>
      </c>
      <c r="F248" s="252" t="str">
        <f t="shared" si="42"/>
        <v> </v>
      </c>
      <c r="G248" s="59"/>
      <c r="H248" s="219" t="str">
        <f t="shared" si="55"/>
        <v> </v>
      </c>
      <c r="I248" s="219"/>
      <c r="J248" s="200" t="str">
        <f aca="true" t="shared" si="57" ref="J248:J270">IF(B248=" "," ",(F248-H248)*postretyield)</f>
        <v> </v>
      </c>
      <c r="K248" s="218"/>
      <c r="L248" s="201" t="str">
        <f aca="true" t="shared" si="58" ref="L248:L270">IF(B248=" "," ",F248-H248+J248)</f>
        <v> </v>
      </c>
      <c r="M248" s="180"/>
      <c r="N248" s="182" t="str">
        <f t="shared" si="50"/>
        <v> </v>
      </c>
    </row>
    <row r="249" spans="1:14" ht="10.5" customHeight="1">
      <c r="A249" s="242">
        <f t="shared" si="51"/>
        <v>34</v>
      </c>
      <c r="B249" s="268" t="str">
        <f t="shared" si="52"/>
        <v> </v>
      </c>
      <c r="C249" s="190" t="str">
        <f t="shared" si="53"/>
        <v> </v>
      </c>
      <c r="D249" s="180" t="str">
        <f t="shared" si="56"/>
        <v> </v>
      </c>
      <c r="E249" s="269" t="str">
        <f t="shared" si="54"/>
        <v> </v>
      </c>
      <c r="F249" s="252" t="str">
        <f aca="true" t="shared" si="59" ref="F249:F270">IF(B249=" "," ",L248)</f>
        <v> </v>
      </c>
      <c r="G249" s="59"/>
      <c r="H249" s="219" t="str">
        <f t="shared" si="55"/>
        <v> </v>
      </c>
      <c r="I249" s="219"/>
      <c r="J249" s="200" t="str">
        <f t="shared" si="57"/>
        <v> </v>
      </c>
      <c r="K249" s="218"/>
      <c r="L249" s="201" t="str">
        <f t="shared" si="58"/>
        <v> </v>
      </c>
      <c r="M249" s="180"/>
      <c r="N249" s="182" t="str">
        <f aca="true" t="shared" si="60" ref="N249:N264">IF(B249=" "," ",D249+E249+H249)</f>
        <v> </v>
      </c>
    </row>
    <row r="250" spans="1:14" ht="10.5" customHeight="1">
      <c r="A250" s="271">
        <f aca="true" t="shared" si="61" ref="A250:A265">A249+1</f>
        <v>35</v>
      </c>
      <c r="B250" s="272" t="str">
        <f aca="true" t="shared" si="62" ref="B250:B265">IF(B249&lt;retage+yrsduringret-1,B249+1," ")</f>
        <v> </v>
      </c>
      <c r="C250" s="273" t="str">
        <f aca="true" t="shared" si="63" ref="C250:C265">IF(B250=" "," ",C249+1)</f>
        <v> </v>
      </c>
      <c r="D250" s="210" t="str">
        <f t="shared" si="56"/>
        <v> </v>
      </c>
      <c r="E250" s="274" t="str">
        <f aca="true" t="shared" si="64" ref="E250:E265">IF(B250=" "," ",E249*(1+inflation*pensioncola))</f>
        <v> </v>
      </c>
      <c r="F250" s="266" t="str">
        <f t="shared" si="59"/>
        <v> </v>
      </c>
      <c r="G250" s="60"/>
      <c r="H250" s="224" t="str">
        <f aca="true" t="shared" si="65" ref="H250:H265">IF(B250=" "," ",MAX(0,MIN(F250,N249*(1+inflation)-D250-E250)))</f>
        <v> </v>
      </c>
      <c r="I250" s="224"/>
      <c r="J250" s="213" t="str">
        <f t="shared" si="57"/>
        <v> </v>
      </c>
      <c r="K250" s="210"/>
      <c r="L250" s="225" t="str">
        <f t="shared" si="58"/>
        <v> </v>
      </c>
      <c r="M250" s="210"/>
      <c r="N250" s="213" t="str">
        <f t="shared" si="60"/>
        <v> </v>
      </c>
    </row>
    <row r="251" spans="1:14" ht="10.5" customHeight="1">
      <c r="A251" s="242">
        <f t="shared" si="61"/>
        <v>36</v>
      </c>
      <c r="B251" s="268" t="str">
        <f t="shared" si="62"/>
        <v> </v>
      </c>
      <c r="C251" s="190" t="str">
        <f t="shared" si="63"/>
        <v> </v>
      </c>
      <c r="D251" s="180" t="str">
        <f t="shared" si="56"/>
        <v> </v>
      </c>
      <c r="E251" s="269" t="str">
        <f t="shared" si="64"/>
        <v> </v>
      </c>
      <c r="F251" s="252" t="str">
        <f t="shared" si="59"/>
        <v> </v>
      </c>
      <c r="G251" s="59"/>
      <c r="H251" s="219" t="str">
        <f t="shared" si="65"/>
        <v> </v>
      </c>
      <c r="I251" s="219"/>
      <c r="J251" s="200" t="str">
        <f t="shared" si="57"/>
        <v> </v>
      </c>
      <c r="K251" s="218"/>
      <c r="L251" s="201" t="str">
        <f t="shared" si="58"/>
        <v> </v>
      </c>
      <c r="M251" s="180"/>
      <c r="N251" s="182" t="str">
        <f t="shared" si="60"/>
        <v> </v>
      </c>
    </row>
    <row r="252" spans="1:14" ht="10.5" customHeight="1">
      <c r="A252" s="242">
        <f t="shared" si="61"/>
        <v>37</v>
      </c>
      <c r="B252" s="268" t="str">
        <f t="shared" si="62"/>
        <v> </v>
      </c>
      <c r="C252" s="190" t="str">
        <f t="shared" si="63"/>
        <v> </v>
      </c>
      <c r="D252" s="180" t="str">
        <f t="shared" si="56"/>
        <v> </v>
      </c>
      <c r="E252" s="269" t="str">
        <f t="shared" si="64"/>
        <v> </v>
      </c>
      <c r="F252" s="252" t="str">
        <f t="shared" si="59"/>
        <v> </v>
      </c>
      <c r="G252" s="59"/>
      <c r="H252" s="219" t="str">
        <f t="shared" si="65"/>
        <v> </v>
      </c>
      <c r="I252" s="219"/>
      <c r="J252" s="200" t="str">
        <f t="shared" si="57"/>
        <v> </v>
      </c>
      <c r="K252" s="218"/>
      <c r="L252" s="201" t="str">
        <f t="shared" si="58"/>
        <v> </v>
      </c>
      <c r="M252" s="180"/>
      <c r="N252" s="182" t="str">
        <f t="shared" si="60"/>
        <v> </v>
      </c>
    </row>
    <row r="253" spans="1:14" ht="10.5" customHeight="1">
      <c r="A253" s="242">
        <f t="shared" si="61"/>
        <v>38</v>
      </c>
      <c r="B253" s="268" t="str">
        <f t="shared" si="62"/>
        <v> </v>
      </c>
      <c r="C253" s="190" t="str">
        <f t="shared" si="63"/>
        <v> </v>
      </c>
      <c r="D253" s="180" t="str">
        <f t="shared" si="56"/>
        <v> </v>
      </c>
      <c r="E253" s="269" t="str">
        <f t="shared" si="64"/>
        <v> </v>
      </c>
      <c r="F253" s="252" t="str">
        <f t="shared" si="59"/>
        <v> </v>
      </c>
      <c r="G253" s="59"/>
      <c r="H253" s="219" t="str">
        <f t="shared" si="65"/>
        <v> </v>
      </c>
      <c r="I253" s="219"/>
      <c r="J253" s="200" t="str">
        <f t="shared" si="57"/>
        <v> </v>
      </c>
      <c r="K253" s="218"/>
      <c r="L253" s="201" t="str">
        <f t="shared" si="58"/>
        <v> </v>
      </c>
      <c r="M253" s="180"/>
      <c r="N253" s="182" t="str">
        <f t="shared" si="60"/>
        <v> </v>
      </c>
    </row>
    <row r="254" spans="1:14" ht="10.5" customHeight="1">
      <c r="A254" s="242">
        <f t="shared" si="61"/>
        <v>39</v>
      </c>
      <c r="B254" s="268" t="str">
        <f t="shared" si="62"/>
        <v> </v>
      </c>
      <c r="C254" s="190" t="str">
        <f t="shared" si="63"/>
        <v> </v>
      </c>
      <c r="D254" s="180" t="str">
        <f t="shared" si="56"/>
        <v> </v>
      </c>
      <c r="E254" s="269" t="str">
        <f t="shared" si="64"/>
        <v> </v>
      </c>
      <c r="F254" s="252" t="str">
        <f t="shared" si="59"/>
        <v> </v>
      </c>
      <c r="G254" s="59"/>
      <c r="H254" s="219" t="str">
        <f t="shared" si="65"/>
        <v> </v>
      </c>
      <c r="I254" s="219"/>
      <c r="J254" s="200" t="str">
        <f t="shared" si="57"/>
        <v> </v>
      </c>
      <c r="K254" s="218"/>
      <c r="L254" s="201" t="str">
        <f t="shared" si="58"/>
        <v> </v>
      </c>
      <c r="M254" s="180"/>
      <c r="N254" s="182" t="str">
        <f t="shared" si="60"/>
        <v> </v>
      </c>
    </row>
    <row r="255" spans="1:14" ht="10.5" customHeight="1">
      <c r="A255" s="271">
        <f t="shared" si="61"/>
        <v>40</v>
      </c>
      <c r="B255" s="272" t="str">
        <f t="shared" si="62"/>
        <v> </v>
      </c>
      <c r="C255" s="273" t="str">
        <f t="shared" si="63"/>
        <v> </v>
      </c>
      <c r="D255" s="210" t="str">
        <f t="shared" si="56"/>
        <v> </v>
      </c>
      <c r="E255" s="274" t="str">
        <f t="shared" si="64"/>
        <v> </v>
      </c>
      <c r="F255" s="266" t="str">
        <f t="shared" si="59"/>
        <v> </v>
      </c>
      <c r="G255" s="60"/>
      <c r="H255" s="224" t="str">
        <f t="shared" si="65"/>
        <v> </v>
      </c>
      <c r="I255" s="224"/>
      <c r="J255" s="213" t="str">
        <f t="shared" si="57"/>
        <v> </v>
      </c>
      <c r="K255" s="210"/>
      <c r="L255" s="225" t="str">
        <f t="shared" si="58"/>
        <v> </v>
      </c>
      <c r="M255" s="210"/>
      <c r="N255" s="213" t="str">
        <f t="shared" si="60"/>
        <v> </v>
      </c>
    </row>
    <row r="256" spans="1:14" ht="10.5" customHeight="1">
      <c r="A256" s="242">
        <f t="shared" si="61"/>
        <v>41</v>
      </c>
      <c r="B256" s="268" t="str">
        <f t="shared" si="62"/>
        <v> </v>
      </c>
      <c r="C256" s="190" t="str">
        <f t="shared" si="63"/>
        <v> </v>
      </c>
      <c r="D256" s="180" t="str">
        <f t="shared" si="56"/>
        <v> </v>
      </c>
      <c r="E256" s="269" t="str">
        <f t="shared" si="64"/>
        <v> </v>
      </c>
      <c r="F256" s="252" t="str">
        <f t="shared" si="59"/>
        <v> </v>
      </c>
      <c r="G256" s="59"/>
      <c r="H256" s="219" t="str">
        <f t="shared" si="65"/>
        <v> </v>
      </c>
      <c r="I256" s="219"/>
      <c r="J256" s="200" t="str">
        <f t="shared" si="57"/>
        <v> </v>
      </c>
      <c r="K256" s="218"/>
      <c r="L256" s="201" t="str">
        <f t="shared" si="58"/>
        <v> </v>
      </c>
      <c r="M256" s="180"/>
      <c r="N256" s="182" t="str">
        <f t="shared" si="60"/>
        <v> </v>
      </c>
    </row>
    <row r="257" spans="1:14" ht="10.5" customHeight="1">
      <c r="A257" s="242">
        <f t="shared" si="61"/>
        <v>42</v>
      </c>
      <c r="B257" s="268" t="str">
        <f t="shared" si="62"/>
        <v> </v>
      </c>
      <c r="C257" s="190" t="str">
        <f t="shared" si="63"/>
        <v> </v>
      </c>
      <c r="D257" s="180" t="str">
        <f t="shared" si="56"/>
        <v> </v>
      </c>
      <c r="E257" s="269" t="str">
        <f t="shared" si="64"/>
        <v> </v>
      </c>
      <c r="F257" s="252" t="str">
        <f t="shared" si="59"/>
        <v> </v>
      </c>
      <c r="G257" s="59"/>
      <c r="H257" s="219" t="str">
        <f t="shared" si="65"/>
        <v> </v>
      </c>
      <c r="I257" s="219"/>
      <c r="J257" s="200" t="str">
        <f t="shared" si="57"/>
        <v> </v>
      </c>
      <c r="K257" s="218"/>
      <c r="L257" s="201" t="str">
        <f t="shared" si="58"/>
        <v> </v>
      </c>
      <c r="M257" s="180"/>
      <c r="N257" s="182" t="str">
        <f t="shared" si="60"/>
        <v> </v>
      </c>
    </row>
    <row r="258" spans="1:14" ht="10.5" customHeight="1">
      <c r="A258" s="242">
        <f t="shared" si="61"/>
        <v>43</v>
      </c>
      <c r="B258" s="268" t="str">
        <f t="shared" si="62"/>
        <v> </v>
      </c>
      <c r="C258" s="190" t="str">
        <f t="shared" si="63"/>
        <v> </v>
      </c>
      <c r="D258" s="180" t="str">
        <f t="shared" si="56"/>
        <v> </v>
      </c>
      <c r="E258" s="269" t="str">
        <f t="shared" si="64"/>
        <v> </v>
      </c>
      <c r="F258" s="252" t="str">
        <f t="shared" si="59"/>
        <v> </v>
      </c>
      <c r="G258" s="59"/>
      <c r="H258" s="219" t="str">
        <f t="shared" si="65"/>
        <v> </v>
      </c>
      <c r="I258" s="219"/>
      <c r="J258" s="200" t="str">
        <f t="shared" si="57"/>
        <v> </v>
      </c>
      <c r="K258" s="218"/>
      <c r="L258" s="201" t="str">
        <f t="shared" si="58"/>
        <v> </v>
      </c>
      <c r="M258" s="180"/>
      <c r="N258" s="182" t="str">
        <f t="shared" si="60"/>
        <v> </v>
      </c>
    </row>
    <row r="259" spans="1:14" ht="10.5" customHeight="1">
      <c r="A259" s="242">
        <f t="shared" si="61"/>
        <v>44</v>
      </c>
      <c r="B259" s="268" t="str">
        <f t="shared" si="62"/>
        <v> </v>
      </c>
      <c r="C259" s="190" t="str">
        <f t="shared" si="63"/>
        <v> </v>
      </c>
      <c r="D259" s="180" t="str">
        <f t="shared" si="56"/>
        <v> </v>
      </c>
      <c r="E259" s="269" t="str">
        <f t="shared" si="64"/>
        <v> </v>
      </c>
      <c r="F259" s="252" t="str">
        <f t="shared" si="59"/>
        <v> </v>
      </c>
      <c r="G259" s="59"/>
      <c r="H259" s="219" t="str">
        <f t="shared" si="65"/>
        <v> </v>
      </c>
      <c r="I259" s="219"/>
      <c r="J259" s="200" t="str">
        <f t="shared" si="57"/>
        <v> </v>
      </c>
      <c r="K259" s="218"/>
      <c r="L259" s="201" t="str">
        <f t="shared" si="58"/>
        <v> </v>
      </c>
      <c r="M259" s="180"/>
      <c r="N259" s="182" t="str">
        <f t="shared" si="60"/>
        <v> </v>
      </c>
    </row>
    <row r="260" spans="1:14" ht="10.5" customHeight="1">
      <c r="A260" s="271">
        <f t="shared" si="61"/>
        <v>45</v>
      </c>
      <c r="B260" s="272" t="str">
        <f t="shared" si="62"/>
        <v> </v>
      </c>
      <c r="C260" s="273" t="str">
        <f t="shared" si="63"/>
        <v> </v>
      </c>
      <c r="D260" s="210" t="str">
        <f t="shared" si="56"/>
        <v> </v>
      </c>
      <c r="E260" s="274" t="str">
        <f t="shared" si="64"/>
        <v> </v>
      </c>
      <c r="F260" s="266" t="str">
        <f t="shared" si="59"/>
        <v> </v>
      </c>
      <c r="G260" s="60"/>
      <c r="H260" s="224" t="str">
        <f t="shared" si="65"/>
        <v> </v>
      </c>
      <c r="I260" s="224"/>
      <c r="J260" s="213" t="str">
        <f t="shared" si="57"/>
        <v> </v>
      </c>
      <c r="K260" s="210"/>
      <c r="L260" s="225" t="str">
        <f t="shared" si="58"/>
        <v> </v>
      </c>
      <c r="M260" s="210"/>
      <c r="N260" s="213" t="str">
        <f t="shared" si="60"/>
        <v> </v>
      </c>
    </row>
    <row r="261" spans="1:14" ht="10.5" customHeight="1">
      <c r="A261" s="242">
        <f t="shared" si="61"/>
        <v>46</v>
      </c>
      <c r="B261" s="268" t="str">
        <f t="shared" si="62"/>
        <v> </v>
      </c>
      <c r="C261" s="190" t="str">
        <f t="shared" si="63"/>
        <v> </v>
      </c>
      <c r="D261" s="180" t="str">
        <f t="shared" si="56"/>
        <v> </v>
      </c>
      <c r="E261" s="269" t="str">
        <f t="shared" si="64"/>
        <v> </v>
      </c>
      <c r="F261" s="252" t="str">
        <f t="shared" si="59"/>
        <v> </v>
      </c>
      <c r="G261" s="59"/>
      <c r="H261" s="219" t="str">
        <f t="shared" si="65"/>
        <v> </v>
      </c>
      <c r="I261" s="219"/>
      <c r="J261" s="200" t="str">
        <f t="shared" si="57"/>
        <v> </v>
      </c>
      <c r="K261" s="218"/>
      <c r="L261" s="201" t="str">
        <f t="shared" si="58"/>
        <v> </v>
      </c>
      <c r="M261" s="180"/>
      <c r="N261" s="182" t="str">
        <f t="shared" si="60"/>
        <v> </v>
      </c>
    </row>
    <row r="262" spans="1:14" ht="10.5" customHeight="1">
      <c r="A262" s="242">
        <f t="shared" si="61"/>
        <v>47</v>
      </c>
      <c r="B262" s="268" t="str">
        <f t="shared" si="62"/>
        <v> </v>
      </c>
      <c r="C262" s="190" t="str">
        <f t="shared" si="63"/>
        <v> </v>
      </c>
      <c r="D262" s="180" t="str">
        <f t="shared" si="56"/>
        <v> </v>
      </c>
      <c r="E262" s="269" t="str">
        <f t="shared" si="64"/>
        <v> </v>
      </c>
      <c r="F262" s="252" t="str">
        <f t="shared" si="59"/>
        <v> </v>
      </c>
      <c r="G262" s="59"/>
      <c r="H262" s="219" t="str">
        <f t="shared" si="65"/>
        <v> </v>
      </c>
      <c r="I262" s="219"/>
      <c r="J262" s="200" t="str">
        <f t="shared" si="57"/>
        <v> </v>
      </c>
      <c r="K262" s="218"/>
      <c r="L262" s="201" t="str">
        <f t="shared" si="58"/>
        <v> </v>
      </c>
      <c r="M262" s="180"/>
      <c r="N262" s="182" t="str">
        <f t="shared" si="60"/>
        <v> </v>
      </c>
    </row>
    <row r="263" spans="1:14" ht="10.5" customHeight="1">
      <c r="A263" s="242">
        <f t="shared" si="61"/>
        <v>48</v>
      </c>
      <c r="B263" s="268" t="str">
        <f t="shared" si="62"/>
        <v> </v>
      </c>
      <c r="C263" s="190" t="str">
        <f t="shared" si="63"/>
        <v> </v>
      </c>
      <c r="D263" s="180" t="str">
        <f t="shared" si="56"/>
        <v> </v>
      </c>
      <c r="E263" s="269" t="str">
        <f t="shared" si="64"/>
        <v> </v>
      </c>
      <c r="F263" s="252" t="str">
        <f t="shared" si="59"/>
        <v> </v>
      </c>
      <c r="G263" s="59"/>
      <c r="H263" s="219" t="str">
        <f t="shared" si="65"/>
        <v> </v>
      </c>
      <c r="I263" s="219"/>
      <c r="J263" s="200" t="str">
        <f t="shared" si="57"/>
        <v> </v>
      </c>
      <c r="K263" s="218"/>
      <c r="L263" s="201" t="str">
        <f t="shared" si="58"/>
        <v> </v>
      </c>
      <c r="M263" s="180"/>
      <c r="N263" s="182" t="str">
        <f t="shared" si="60"/>
        <v> </v>
      </c>
    </row>
    <row r="264" spans="1:14" ht="10.5" customHeight="1">
      <c r="A264" s="242">
        <f t="shared" si="61"/>
        <v>49</v>
      </c>
      <c r="B264" s="268" t="str">
        <f t="shared" si="62"/>
        <v> </v>
      </c>
      <c r="C264" s="190" t="str">
        <f t="shared" si="63"/>
        <v> </v>
      </c>
      <c r="D264" s="180" t="str">
        <f aca="true" t="shared" si="66" ref="D264:D270">IF(B264=" "," ",IF(B264=socsecbenage,socsecactualben,D263*(1+inflation)))</f>
        <v> </v>
      </c>
      <c r="E264" s="269" t="str">
        <f t="shared" si="64"/>
        <v> </v>
      </c>
      <c r="F264" s="252" t="str">
        <f t="shared" si="59"/>
        <v> </v>
      </c>
      <c r="G264" s="59"/>
      <c r="H264" s="219" t="str">
        <f t="shared" si="65"/>
        <v> </v>
      </c>
      <c r="I264" s="219"/>
      <c r="J264" s="200" t="str">
        <f t="shared" si="57"/>
        <v> </v>
      </c>
      <c r="K264" s="218"/>
      <c r="L264" s="201" t="str">
        <f t="shared" si="58"/>
        <v> </v>
      </c>
      <c r="M264" s="180"/>
      <c r="N264" s="182" t="str">
        <f t="shared" si="60"/>
        <v> </v>
      </c>
    </row>
    <row r="265" spans="1:14" ht="10.5" customHeight="1">
      <c r="A265" s="271">
        <f t="shared" si="61"/>
        <v>50</v>
      </c>
      <c r="B265" s="272" t="str">
        <f t="shared" si="62"/>
        <v> </v>
      </c>
      <c r="C265" s="273" t="str">
        <f t="shared" si="63"/>
        <v> </v>
      </c>
      <c r="D265" s="210" t="str">
        <f t="shared" si="66"/>
        <v> </v>
      </c>
      <c r="E265" s="274" t="str">
        <f t="shared" si="64"/>
        <v> </v>
      </c>
      <c r="F265" s="266" t="str">
        <f t="shared" si="59"/>
        <v> </v>
      </c>
      <c r="G265" s="60"/>
      <c r="H265" s="224" t="str">
        <f t="shared" si="65"/>
        <v> </v>
      </c>
      <c r="I265" s="224"/>
      <c r="J265" s="213" t="str">
        <f t="shared" si="57"/>
        <v> </v>
      </c>
      <c r="K265" s="210"/>
      <c r="L265" s="225" t="str">
        <f t="shared" si="58"/>
        <v> </v>
      </c>
      <c r="M265" s="210"/>
      <c r="N265" s="213" t="str">
        <f aca="true" t="shared" si="67" ref="N265:N270">IF(B265=" "," ",D265+E265+H265)</f>
        <v> </v>
      </c>
    </row>
    <row r="266" spans="1:14" ht="10.5" customHeight="1">
      <c r="A266" s="242">
        <f>A265+1</f>
        <v>51</v>
      </c>
      <c r="B266" s="268" t="str">
        <f>IF(B265&lt;retage+yrsduringret-1,B265+1," ")</f>
        <v> </v>
      </c>
      <c r="C266" s="190" t="str">
        <f>IF(B266=" "," ",C265+1)</f>
        <v> </v>
      </c>
      <c r="D266" s="180" t="str">
        <f t="shared" si="66"/>
        <v> </v>
      </c>
      <c r="E266" s="269" t="str">
        <f>IF(B266=" "," ",E265*(1+inflation*pensioncola))</f>
        <v> </v>
      </c>
      <c r="F266" s="252" t="str">
        <f t="shared" si="59"/>
        <v> </v>
      </c>
      <c r="G266" s="59"/>
      <c r="H266" s="219" t="str">
        <f>IF(B266=" "," ",MAX(0,MIN(F266,N265*(1+inflation)-D266-E266)))</f>
        <v> </v>
      </c>
      <c r="I266" s="219"/>
      <c r="J266" s="200" t="str">
        <f t="shared" si="57"/>
        <v> </v>
      </c>
      <c r="K266" s="218"/>
      <c r="L266" s="201" t="str">
        <f t="shared" si="58"/>
        <v> </v>
      </c>
      <c r="M266" s="180"/>
      <c r="N266" s="182" t="str">
        <f t="shared" si="67"/>
        <v> </v>
      </c>
    </row>
    <row r="267" spans="1:14" ht="10.5" customHeight="1">
      <c r="A267" s="242">
        <f>A266+1</f>
        <v>52</v>
      </c>
      <c r="B267" s="268" t="str">
        <f>IF(B266&lt;retage+yrsduringret-1,B266+1," ")</f>
        <v> </v>
      </c>
      <c r="C267" s="190" t="str">
        <f>IF(B267=" "," ",C266+1)</f>
        <v> </v>
      </c>
      <c r="D267" s="180" t="str">
        <f t="shared" si="66"/>
        <v> </v>
      </c>
      <c r="E267" s="269" t="str">
        <f>IF(B267=" "," ",E266*(1+inflation*pensioncola))</f>
        <v> </v>
      </c>
      <c r="F267" s="252" t="str">
        <f t="shared" si="59"/>
        <v> </v>
      </c>
      <c r="G267" s="59"/>
      <c r="H267" s="219" t="str">
        <f>IF(B267=" "," ",MAX(0,MIN(F267,N266*(1+inflation)-D267-E267)))</f>
        <v> </v>
      </c>
      <c r="I267" s="219"/>
      <c r="J267" s="200" t="str">
        <f t="shared" si="57"/>
        <v> </v>
      </c>
      <c r="K267" s="218"/>
      <c r="L267" s="201" t="str">
        <f t="shared" si="58"/>
        <v> </v>
      </c>
      <c r="M267" s="180"/>
      <c r="N267" s="182" t="str">
        <f t="shared" si="67"/>
        <v> </v>
      </c>
    </row>
    <row r="268" spans="1:14" ht="10.5" customHeight="1">
      <c r="A268" s="242">
        <f>A267+1</f>
        <v>53</v>
      </c>
      <c r="B268" s="268" t="str">
        <f>IF(B267&lt;retage+yrsduringret-1,B267+1," ")</f>
        <v> </v>
      </c>
      <c r="C268" s="190" t="str">
        <f>IF(B268=" "," ",C267+1)</f>
        <v> </v>
      </c>
      <c r="D268" s="180" t="str">
        <f t="shared" si="66"/>
        <v> </v>
      </c>
      <c r="E268" s="269" t="str">
        <f>IF(B268=" "," ",E267*(1+inflation*pensioncola))</f>
        <v> </v>
      </c>
      <c r="F268" s="252" t="str">
        <f t="shared" si="59"/>
        <v> </v>
      </c>
      <c r="G268" s="59"/>
      <c r="H268" s="219" t="str">
        <f>IF(B268=" "," ",MAX(0,MIN(F268,N267*(1+inflation)-D268-E268)))</f>
        <v> </v>
      </c>
      <c r="I268" s="219"/>
      <c r="J268" s="200" t="str">
        <f t="shared" si="57"/>
        <v> </v>
      </c>
      <c r="K268" s="218"/>
      <c r="L268" s="201" t="str">
        <f t="shared" si="58"/>
        <v> </v>
      </c>
      <c r="M268" s="180"/>
      <c r="N268" s="182" t="str">
        <f t="shared" si="67"/>
        <v> </v>
      </c>
    </row>
    <row r="269" spans="1:14" ht="10.5" customHeight="1">
      <c r="A269" s="242">
        <f>A268+1</f>
        <v>54</v>
      </c>
      <c r="B269" s="268" t="str">
        <f>IF(B268&lt;retage+yrsduringret-1,B268+1," ")</f>
        <v> </v>
      </c>
      <c r="C269" s="190" t="str">
        <f>IF(B269=" "," ",C268+1)</f>
        <v> </v>
      </c>
      <c r="D269" s="180" t="str">
        <f t="shared" si="66"/>
        <v> </v>
      </c>
      <c r="E269" s="269" t="str">
        <f>IF(B269=" "," ",E268*(1+inflation*pensioncola))</f>
        <v> </v>
      </c>
      <c r="F269" s="252" t="str">
        <f t="shared" si="59"/>
        <v> </v>
      </c>
      <c r="G269" s="59"/>
      <c r="H269" s="219" t="str">
        <f>IF(B269=" "," ",MAX(0,MIN(F269,N268*(1+inflation)-D269-E269)))</f>
        <v> </v>
      </c>
      <c r="I269" s="219"/>
      <c r="J269" s="200" t="str">
        <f t="shared" si="57"/>
        <v> </v>
      </c>
      <c r="K269" s="218"/>
      <c r="L269" s="201" t="str">
        <f t="shared" si="58"/>
        <v> </v>
      </c>
      <c r="M269" s="180"/>
      <c r="N269" s="182" t="str">
        <f t="shared" si="67"/>
        <v> </v>
      </c>
    </row>
    <row r="270" spans="1:14" ht="10.5" customHeight="1" thickBot="1">
      <c r="A270" s="271">
        <f>A269+1</f>
        <v>55</v>
      </c>
      <c r="B270" s="275" t="str">
        <f>IF(B269&lt;retage+yrsduringret-1,B269+1," ")</f>
        <v> </v>
      </c>
      <c r="C270" s="273" t="str">
        <f>IF(B270=" "," ",C269+1)</f>
        <v> </v>
      </c>
      <c r="D270" s="210" t="str">
        <f t="shared" si="66"/>
        <v> </v>
      </c>
      <c r="E270" s="274" t="str">
        <f>IF(B270=" "," ",E269*(1+inflation*pensioncola))</f>
        <v> </v>
      </c>
      <c r="F270" s="276" t="str">
        <f t="shared" si="59"/>
        <v> </v>
      </c>
      <c r="G270" s="277"/>
      <c r="H270" s="230" t="str">
        <f>IF(B270=" "," ",MAX(0,MIN(F270,N269*(1+inflation)-D270-E270)))</f>
        <v> </v>
      </c>
      <c r="I270" s="230"/>
      <c r="J270" s="186" t="str">
        <f t="shared" si="57"/>
        <v> </v>
      </c>
      <c r="K270" s="185"/>
      <c r="L270" s="231" t="str">
        <f t="shared" si="58"/>
        <v> </v>
      </c>
      <c r="M270" s="210"/>
      <c r="N270" s="213" t="str">
        <f t="shared" si="67"/>
        <v> </v>
      </c>
    </row>
    <row r="271" spans="1:14" ht="10.5" customHeight="1">
      <c r="A271" s="278"/>
      <c r="B271" s="279"/>
      <c r="C271" s="280"/>
      <c r="D271" s="218"/>
      <c r="E271" s="281"/>
      <c r="F271" s="219"/>
      <c r="G271" s="59"/>
      <c r="H271" s="219"/>
      <c r="I271" s="219"/>
      <c r="J271" s="200"/>
      <c r="K271" s="218"/>
      <c r="L271" s="282"/>
      <c r="M271" s="218"/>
      <c r="N271" s="200"/>
    </row>
    <row r="272" spans="1:14" ht="10.5" customHeight="1">
      <c r="A272" s="278"/>
      <c r="B272" s="279"/>
      <c r="C272" s="280"/>
      <c r="D272" s="218"/>
      <c r="E272" s="281"/>
      <c r="F272" s="219"/>
      <c r="G272" s="59"/>
      <c r="H272" s="219"/>
      <c r="I272" s="219"/>
      <c r="J272" s="200"/>
      <c r="K272" s="218"/>
      <c r="L272" s="282"/>
      <c r="M272" s="218"/>
      <c r="N272" s="200"/>
    </row>
    <row r="273" spans="1:14" ht="10.5" customHeight="1">
      <c r="A273" s="122">
        <f>A207+0.01</f>
        <v>4.049999999999999</v>
      </c>
      <c r="B273" s="283" t="s">
        <v>190</v>
      </c>
      <c r="C273" s="284"/>
      <c r="D273" s="285"/>
      <c r="E273" s="286"/>
      <c r="F273" s="287"/>
      <c r="G273" s="288"/>
      <c r="H273" s="287"/>
      <c r="I273" s="287"/>
      <c r="J273" s="153"/>
      <c r="K273" s="154" t="s">
        <v>88</v>
      </c>
      <c r="L273" s="105">
        <f ca="1">TODAY()</f>
        <v>45271</v>
      </c>
      <c r="M273" s="285"/>
      <c r="N273" s="289"/>
    </row>
    <row r="274" spans="1:14" ht="10.5" customHeight="1">
      <c r="A274" s="291"/>
      <c r="B274" s="292"/>
      <c r="C274" s="284"/>
      <c r="D274" s="285"/>
      <c r="E274" s="286"/>
      <c r="F274" s="287"/>
      <c r="G274" s="288"/>
      <c r="H274" s="287"/>
      <c r="I274" s="287"/>
      <c r="J274" s="293"/>
      <c r="K274" s="285"/>
      <c r="L274" s="290"/>
      <c r="M274" s="285"/>
      <c r="N274" s="289"/>
    </row>
    <row r="275" spans="1:14" ht="10.5" customHeight="1">
      <c r="A275" s="291"/>
      <c r="B275" s="292"/>
      <c r="C275" s="284"/>
      <c r="D275" s="285"/>
      <c r="E275" s="286"/>
      <c r="F275" s="287"/>
      <c r="G275" s="288"/>
      <c r="H275" s="289" t="s">
        <v>191</v>
      </c>
      <c r="I275" s="287"/>
      <c r="J275" s="293">
        <f>currentage</f>
        <v>35</v>
      </c>
      <c r="K275" s="285"/>
      <c r="L275" s="290"/>
      <c r="M275" s="285"/>
      <c r="N275" s="289"/>
    </row>
    <row r="276" spans="1:14" ht="10.5" customHeight="1">
      <c r="A276" s="291"/>
      <c r="B276" s="292"/>
      <c r="C276" s="284"/>
      <c r="D276" s="285"/>
      <c r="E276" s="286"/>
      <c r="F276" s="287"/>
      <c r="G276" s="288"/>
      <c r="H276" s="287"/>
      <c r="I276" s="287"/>
      <c r="J276" s="293"/>
      <c r="K276" s="285"/>
      <c r="L276" s="290"/>
      <c r="M276" s="285"/>
      <c r="N276" s="289"/>
    </row>
    <row r="277" spans="1:14" ht="10.5" customHeight="1">
      <c r="A277" s="291"/>
      <c r="B277" s="292"/>
      <c r="C277" s="284"/>
      <c r="D277" s="285"/>
      <c r="E277" s="286"/>
      <c r="F277" s="287"/>
      <c r="G277" s="288"/>
      <c r="H277" s="294" t="s">
        <v>192</v>
      </c>
      <c r="I277" s="287"/>
      <c r="J277" s="293">
        <f>retage</f>
        <v>65</v>
      </c>
      <c r="K277" s="285"/>
      <c r="L277" s="290"/>
      <c r="M277" s="285"/>
      <c r="N277" s="289"/>
    </row>
    <row r="278" spans="1:14" ht="10.5" customHeight="1">
      <c r="A278" s="291"/>
      <c r="B278" s="292"/>
      <c r="C278" s="284"/>
      <c r="D278" s="285"/>
      <c r="E278" s="286"/>
      <c r="F278" s="287"/>
      <c r="G278" s="288"/>
      <c r="H278" s="287"/>
      <c r="I278" s="287"/>
      <c r="J278" s="293"/>
      <c r="K278" s="285"/>
      <c r="L278" s="290"/>
      <c r="M278" s="285"/>
      <c r="N278" s="289"/>
    </row>
    <row r="279" spans="1:14" ht="10.5" customHeight="1">
      <c r="A279" s="291"/>
      <c r="B279" s="292"/>
      <c r="C279" s="284"/>
      <c r="D279" s="285"/>
      <c r="E279" s="286"/>
      <c r="F279" s="287"/>
      <c r="G279" s="288"/>
      <c r="H279" s="289" t="s">
        <v>193</v>
      </c>
      <c r="I279" s="287"/>
      <c r="J279" s="293"/>
      <c r="K279" s="285"/>
      <c r="L279" s="290"/>
      <c r="M279" s="285"/>
      <c r="N279" s="289"/>
    </row>
    <row r="280" spans="1:14" ht="10.5" customHeight="1">
      <c r="A280" s="291"/>
      <c r="B280" s="292"/>
      <c r="C280" s="284"/>
      <c r="D280" s="285"/>
      <c r="E280" s="286"/>
      <c r="F280" s="287"/>
      <c r="G280" s="288"/>
      <c r="H280" s="289" t="s">
        <v>194</v>
      </c>
      <c r="I280" s="287"/>
      <c r="J280" s="293">
        <f>SSNRA</f>
        <v>67</v>
      </c>
      <c r="K280" s="285"/>
      <c r="L280" s="290"/>
      <c r="M280" s="285"/>
      <c r="N280" s="289"/>
    </row>
    <row r="281" spans="1:14" ht="10.5" customHeight="1">
      <c r="A281" s="291"/>
      <c r="B281" s="292"/>
      <c r="C281" s="284"/>
      <c r="D281" s="285"/>
      <c r="E281" s="286"/>
      <c r="F281" s="287"/>
      <c r="G281" s="288"/>
      <c r="H281" s="287"/>
      <c r="I281" s="287"/>
      <c r="J281" s="293"/>
      <c r="K281" s="285"/>
      <c r="L281" s="290"/>
      <c r="M281" s="285"/>
      <c r="N281" s="289"/>
    </row>
    <row r="282" spans="1:14" ht="10.5" customHeight="1">
      <c r="A282" s="291"/>
      <c r="B282" s="292"/>
      <c r="C282" s="284"/>
      <c r="D282" s="285"/>
      <c r="E282" s="286"/>
      <c r="F282" s="287"/>
      <c r="G282" s="288"/>
      <c r="H282" s="289" t="s">
        <v>195</v>
      </c>
      <c r="I282" s="287"/>
      <c r="J282" s="293"/>
      <c r="K282" s="285"/>
      <c r="L282" s="290"/>
      <c r="M282" s="285"/>
      <c r="N282" s="289"/>
    </row>
    <row r="283" spans="1:14" ht="10.5" customHeight="1">
      <c r="A283" s="291"/>
      <c r="B283" s="292"/>
      <c r="C283" s="284"/>
      <c r="D283" s="285"/>
      <c r="E283" s="286"/>
      <c r="F283" s="287"/>
      <c r="G283" s="288"/>
      <c r="H283" s="294" t="s">
        <v>196</v>
      </c>
      <c r="I283" s="287"/>
      <c r="J283" s="293">
        <v>62</v>
      </c>
      <c r="K283" s="285"/>
      <c r="L283" s="290"/>
      <c r="M283" s="285"/>
      <c r="N283" s="289"/>
    </row>
    <row r="284" spans="1:14" ht="10.5" customHeight="1">
      <c r="A284" s="291"/>
      <c r="B284" s="292"/>
      <c r="C284" s="284"/>
      <c r="D284" s="285"/>
      <c r="E284" s="286"/>
      <c r="F284" s="287"/>
      <c r="G284" s="288"/>
      <c r="H284" s="289"/>
      <c r="I284" s="287"/>
      <c r="J284" s="293"/>
      <c r="K284" s="285"/>
      <c r="L284" s="290"/>
      <c r="M284" s="285"/>
      <c r="N284" s="289"/>
    </row>
    <row r="285" spans="1:14" ht="10.5" customHeight="1">
      <c r="A285" s="291"/>
      <c r="B285" s="292"/>
      <c r="C285" s="284"/>
      <c r="D285" s="285"/>
      <c r="E285" s="286"/>
      <c r="F285" s="287"/>
      <c r="G285" s="288"/>
      <c r="H285" s="289" t="s">
        <v>197</v>
      </c>
      <c r="I285" s="287"/>
      <c r="J285" s="293"/>
      <c r="K285" s="285"/>
      <c r="L285" s="290"/>
      <c r="M285" s="285"/>
      <c r="N285" s="289"/>
    </row>
    <row r="286" spans="1:14" ht="10.5" customHeight="1">
      <c r="A286" s="291"/>
      <c r="B286" s="292"/>
      <c r="C286" s="284"/>
      <c r="D286" s="285"/>
      <c r="E286" s="286"/>
      <c r="F286" s="287"/>
      <c r="G286" s="288"/>
      <c r="H286" s="294" t="s">
        <v>198</v>
      </c>
      <c r="I286" s="287"/>
      <c r="J286" s="293"/>
      <c r="K286" s="285"/>
      <c r="L286" s="290"/>
      <c r="M286" s="285"/>
      <c r="N286" s="289"/>
    </row>
    <row r="287" spans="1:14" ht="10.5" customHeight="1">
      <c r="A287" s="291"/>
      <c r="B287" s="292"/>
      <c r="C287" s="284"/>
      <c r="D287" s="285"/>
      <c r="E287" s="286"/>
      <c r="F287" s="287"/>
      <c r="G287" s="288"/>
      <c r="H287" s="294" t="s">
        <v>199</v>
      </c>
      <c r="I287" s="287"/>
      <c r="J287" s="293">
        <f>socsecbenage</f>
        <v>65</v>
      </c>
      <c r="K287" s="285"/>
      <c r="L287" s="290"/>
      <c r="M287" s="285"/>
      <c r="N287" s="289"/>
    </row>
    <row r="288" spans="1:14" ht="10.5" customHeight="1">
      <c r="A288" s="291"/>
      <c r="B288" s="292"/>
      <c r="C288" s="284"/>
      <c r="D288" s="285"/>
      <c r="E288" s="286"/>
      <c r="F288" s="287"/>
      <c r="G288" s="288"/>
      <c r="H288" s="289"/>
      <c r="I288" s="287"/>
      <c r="J288" s="293"/>
      <c r="K288" s="285"/>
      <c r="L288" s="290"/>
      <c r="M288" s="285"/>
      <c r="N288" s="289"/>
    </row>
    <row r="289" spans="1:14" ht="10.5" customHeight="1">
      <c r="A289" s="291"/>
      <c r="B289" s="292"/>
      <c r="C289" s="284"/>
      <c r="D289" s="285"/>
      <c r="E289" s="286"/>
      <c r="F289" s="287"/>
      <c r="G289" s="288"/>
      <c r="H289" s="294" t="s">
        <v>200</v>
      </c>
      <c r="I289" s="287"/>
      <c r="J289" s="289"/>
      <c r="K289" s="285"/>
      <c r="L289" s="290"/>
      <c r="M289" s="285"/>
      <c r="N289" s="289"/>
    </row>
    <row r="290" spans="1:14" ht="10.5" customHeight="1">
      <c r="A290" s="291"/>
      <c r="B290" s="292"/>
      <c r="C290" s="284"/>
      <c r="D290" s="285"/>
      <c r="E290" s="286"/>
      <c r="F290" s="287"/>
      <c r="G290" s="288"/>
      <c r="H290" s="289" t="s">
        <v>201</v>
      </c>
      <c r="I290" s="287"/>
      <c r="J290" s="290">
        <f>SSBENYOU</f>
        <v>14251.68</v>
      </c>
      <c r="K290" s="285"/>
      <c r="L290" s="290"/>
      <c r="M290" s="285"/>
      <c r="N290" s="289"/>
    </row>
    <row r="291" spans="1:14" ht="10.5" customHeight="1">
      <c r="A291" s="291"/>
      <c r="B291" s="292"/>
      <c r="C291" s="284"/>
      <c r="D291" s="285"/>
      <c r="E291" s="286"/>
      <c r="F291" s="287"/>
      <c r="G291" s="288"/>
      <c r="H291" s="289" t="s">
        <v>202</v>
      </c>
      <c r="I291" s="287"/>
      <c r="J291" s="295">
        <f>SSTOTBEN-SSBENYOU</f>
        <v>9055.2</v>
      </c>
      <c r="K291" s="285"/>
      <c r="L291" s="290"/>
      <c r="M291" s="285"/>
      <c r="N291" s="289"/>
    </row>
    <row r="292" spans="1:14" ht="10.5" customHeight="1">
      <c r="A292" s="291"/>
      <c r="B292" s="292"/>
      <c r="C292" s="284"/>
      <c r="D292" s="285"/>
      <c r="E292" s="286"/>
      <c r="F292" s="287"/>
      <c r="G292" s="288"/>
      <c r="H292" s="294" t="s">
        <v>143</v>
      </c>
      <c r="I292" s="287"/>
      <c r="J292" s="290">
        <f>SUM(J290:J291)</f>
        <v>23306.88</v>
      </c>
      <c r="K292" s="285"/>
      <c r="L292" s="290"/>
      <c r="M292" s="285"/>
      <c r="N292" s="289"/>
    </row>
    <row r="293" spans="1:14" ht="10.5" customHeight="1">
      <c r="A293" s="291"/>
      <c r="B293" s="292"/>
      <c r="C293" s="284"/>
      <c r="D293" s="285"/>
      <c r="E293" s="286"/>
      <c r="F293" s="287"/>
      <c r="G293" s="288"/>
      <c r="H293" s="289"/>
      <c r="I293" s="287"/>
      <c r="J293" s="290"/>
      <c r="K293" s="285"/>
      <c r="L293" s="290"/>
      <c r="M293" s="285"/>
      <c r="N293" s="289"/>
    </row>
    <row r="294" spans="1:14" ht="10.5" customHeight="1">
      <c r="A294" s="291"/>
      <c r="B294" s="292"/>
      <c r="C294" s="284"/>
      <c r="D294" s="285"/>
      <c r="E294" s="286"/>
      <c r="F294" s="287"/>
      <c r="G294" s="288"/>
      <c r="H294" s="294" t="s">
        <v>203</v>
      </c>
      <c r="I294" s="287"/>
      <c r="J294" s="290">
        <f>J292*SSERALRAFACTOR</f>
        <v>20199.296000000002</v>
      </c>
      <c r="K294" s="285"/>
      <c r="L294" s="290"/>
      <c r="M294" s="285"/>
      <c r="N294" s="289"/>
    </row>
    <row r="295" spans="1:14" ht="10.5" customHeight="1">
      <c r="A295" s="291"/>
      <c r="B295" s="292"/>
      <c r="C295" s="284"/>
      <c r="D295" s="285"/>
      <c r="E295" s="286"/>
      <c r="F295" s="287"/>
      <c r="G295" s="288"/>
      <c r="H295" s="289"/>
      <c r="I295" s="287"/>
      <c r="J295" s="290"/>
      <c r="K295" s="285"/>
      <c r="L295" s="290"/>
      <c r="M295" s="285"/>
      <c r="N295" s="289"/>
    </row>
    <row r="296" spans="1:14" ht="10.5" customHeight="1">
      <c r="A296" s="291"/>
      <c r="B296" s="292"/>
      <c r="C296" s="284"/>
      <c r="D296" s="285"/>
      <c r="E296" s="286"/>
      <c r="F296" s="287"/>
      <c r="G296" s="288"/>
      <c r="H296" s="294" t="s">
        <v>204</v>
      </c>
      <c r="I296" s="287"/>
      <c r="J296"/>
      <c r="K296" s="285"/>
      <c r="L296" s="290"/>
      <c r="M296" s="285"/>
      <c r="N296" s="289"/>
    </row>
    <row r="297" spans="1:14" ht="10.5" customHeight="1">
      <c r="A297" s="291"/>
      <c r="B297" s="292"/>
      <c r="C297" s="284"/>
      <c r="D297" s="285"/>
      <c r="E297" s="286"/>
      <c r="F297" s="287"/>
      <c r="G297" s="288"/>
      <c r="H297" s="289" t="s">
        <v>205</v>
      </c>
      <c r="I297" s="287"/>
      <c r="J297" s="290"/>
      <c r="K297" s="285"/>
      <c r="L297" s="290"/>
      <c r="M297" s="285"/>
      <c r="N297" s="289"/>
    </row>
    <row r="298" spans="1:14" ht="10.5" customHeight="1">
      <c r="A298" s="291"/>
      <c r="B298" s="292"/>
      <c r="C298" s="284"/>
      <c r="D298" s="285"/>
      <c r="E298" s="286"/>
      <c r="F298" s="287"/>
      <c r="G298" s="288"/>
      <c r="H298" s="289" t="s">
        <v>206</v>
      </c>
      <c r="I298" s="287"/>
      <c r="J298" s="290">
        <f>J294*SSINFLFACTOR</f>
        <v>56695.256852224964</v>
      </c>
      <c r="K298" s="285"/>
      <c r="L298" s="290"/>
      <c r="M298" s="285"/>
      <c r="N298" s="289"/>
    </row>
    <row r="299" spans="1:14" ht="10.5" customHeight="1">
      <c r="A299" s="291"/>
      <c r="B299" s="292"/>
      <c r="C299" s="284"/>
      <c r="D299" s="285"/>
      <c r="E299" s="286"/>
      <c r="F299" s="287"/>
      <c r="G299" s="288"/>
      <c r="H299" s="289"/>
      <c r="I299" s="287"/>
      <c r="J299" s="290"/>
      <c r="K299" s="285"/>
      <c r="L299" s="290"/>
      <c r="M299" s="285"/>
      <c r="N299" s="289"/>
    </row>
    <row r="300" spans="1:14" ht="10.5" customHeight="1">
      <c r="A300" s="291"/>
      <c r="B300" s="292"/>
      <c r="C300" s="284"/>
      <c r="D300" s="285"/>
      <c r="E300" s="286"/>
      <c r="F300" s="287"/>
      <c r="G300" s="288"/>
      <c r="H300" s="289"/>
      <c r="I300" s="287"/>
      <c r="J300" s="290"/>
      <c r="K300" s="285"/>
      <c r="L300" s="290"/>
      <c r="M300" s="285"/>
      <c r="N300" s="289"/>
    </row>
    <row r="301" spans="1:14" ht="10.5" customHeight="1">
      <c r="A301" s="291"/>
      <c r="B301" s="292"/>
      <c r="C301" s="284"/>
      <c r="D301" s="285"/>
      <c r="E301" s="286"/>
      <c r="F301" s="287"/>
      <c r="G301" s="288"/>
      <c r="H301" s="289"/>
      <c r="I301" s="287"/>
      <c r="J301" s="290"/>
      <c r="K301" s="285"/>
      <c r="L301" s="290"/>
      <c r="M301" s="285"/>
      <c r="N301" s="289"/>
    </row>
    <row r="302" spans="1:14" ht="10.5" customHeight="1">
      <c r="A302" s="296" t="s">
        <v>207</v>
      </c>
      <c r="B302" s="125"/>
      <c r="C302" s="125"/>
      <c r="D302" s="297"/>
      <c r="E302" s="298"/>
      <c r="F302" s="299"/>
      <c r="G302" s="298"/>
      <c r="H302" s="298"/>
      <c r="I302" s="299"/>
      <c r="J302" s="300"/>
      <c r="K302" s="125"/>
      <c r="L302" s="298"/>
      <c r="M302" s="125"/>
      <c r="N302" s="298"/>
    </row>
    <row r="303" spans="1:20" ht="10.5" customHeight="1">
      <c r="A303" s="110"/>
      <c r="B303" s="110"/>
      <c r="C303" s="110"/>
      <c r="D303" s="301"/>
      <c r="E303" s="123"/>
      <c r="F303" s="110"/>
      <c r="G303" s="123"/>
      <c r="H303" s="123"/>
      <c r="I303" s="110"/>
      <c r="J303" s="290"/>
      <c r="K303" s="110"/>
      <c r="L303" s="123"/>
      <c r="M303" s="110"/>
      <c r="N303" s="123"/>
      <c r="O303" s="302"/>
      <c r="P303" s="302"/>
      <c r="Q303" s="302"/>
      <c r="R303" s="302"/>
      <c r="S303" s="302"/>
      <c r="T303" s="302"/>
    </row>
    <row r="304" spans="1:20" ht="10.5" customHeight="1">
      <c r="A304" s="110"/>
      <c r="B304" s="110"/>
      <c r="C304" s="110"/>
      <c r="D304" s="110"/>
      <c r="E304" s="123"/>
      <c r="F304" s="110"/>
      <c r="G304" s="123"/>
      <c r="H304" s="123"/>
      <c r="I304" s="110"/>
      <c r="J304" s="290"/>
      <c r="K304" s="110"/>
      <c r="L304" s="123"/>
      <c r="M304" s="110"/>
      <c r="N304" s="123"/>
      <c r="O304" s="302"/>
      <c r="P304" s="302"/>
      <c r="Q304" s="302"/>
      <c r="R304" s="302"/>
      <c r="S304" s="302"/>
      <c r="T304" s="302"/>
    </row>
    <row r="305" spans="1:20" ht="10.5" customHeight="1">
      <c r="A305" s="110"/>
      <c r="B305" s="110"/>
      <c r="C305" s="110"/>
      <c r="D305" s="110"/>
      <c r="E305" s="123"/>
      <c r="F305" s="110"/>
      <c r="G305" s="123"/>
      <c r="H305" s="123"/>
      <c r="I305" s="110"/>
      <c r="J305" s="290"/>
      <c r="K305" s="110"/>
      <c r="L305" s="123"/>
      <c r="M305" s="110"/>
      <c r="N305" s="123"/>
      <c r="O305" s="302"/>
      <c r="P305" s="302"/>
      <c r="Q305" s="302"/>
      <c r="R305" s="302"/>
      <c r="S305" s="302"/>
      <c r="T305" s="302"/>
    </row>
    <row r="306" spans="1:20" ht="10.5" customHeight="1">
      <c r="A306" s="110"/>
      <c r="B306" s="110"/>
      <c r="C306" s="110"/>
      <c r="D306" s="110"/>
      <c r="E306" s="123"/>
      <c r="F306" s="110"/>
      <c r="G306" s="123"/>
      <c r="H306" s="123"/>
      <c r="I306" s="110"/>
      <c r="J306" s="290"/>
      <c r="K306" s="110"/>
      <c r="L306" s="123"/>
      <c r="M306" s="110"/>
      <c r="N306" s="123"/>
      <c r="O306" s="302"/>
      <c r="P306" s="302"/>
      <c r="Q306" s="302"/>
      <c r="R306" s="302"/>
      <c r="S306" s="302"/>
      <c r="T306" s="302"/>
    </row>
    <row r="307" spans="1:20" ht="10.5" customHeight="1">
      <c r="A307" s="110"/>
      <c r="B307" s="110"/>
      <c r="C307" s="110"/>
      <c r="D307" s="110"/>
      <c r="E307" s="123"/>
      <c r="F307" s="110"/>
      <c r="G307" s="123"/>
      <c r="H307" s="123"/>
      <c r="I307" s="110"/>
      <c r="J307" s="290"/>
      <c r="K307" s="110"/>
      <c r="L307" s="123"/>
      <c r="M307" s="110"/>
      <c r="N307" s="123"/>
      <c r="O307" s="302"/>
      <c r="P307" s="302"/>
      <c r="Q307" s="302"/>
      <c r="R307" s="302"/>
      <c r="S307" s="302"/>
      <c r="T307" s="302"/>
    </row>
    <row r="308" spans="1:20" ht="10.5" customHeight="1">
      <c r="A308" s="110"/>
      <c r="B308" s="110"/>
      <c r="C308" s="110"/>
      <c r="D308" s="110"/>
      <c r="E308" s="123"/>
      <c r="F308" s="110"/>
      <c r="G308" s="123"/>
      <c r="H308" s="123"/>
      <c r="I308" s="110"/>
      <c r="J308" s="290"/>
      <c r="K308" s="110"/>
      <c r="L308" s="123"/>
      <c r="M308" s="110"/>
      <c r="N308" s="123"/>
      <c r="O308" s="302"/>
      <c r="P308" s="302"/>
      <c r="Q308" s="302"/>
      <c r="R308" s="302"/>
      <c r="S308" s="302"/>
      <c r="T308" s="302"/>
    </row>
    <row r="309" spans="1:20" ht="10.5" customHeight="1">
      <c r="A309" s="110"/>
      <c r="B309" s="110"/>
      <c r="C309" s="110"/>
      <c r="D309" s="110"/>
      <c r="E309" s="123"/>
      <c r="F309" s="110"/>
      <c r="G309" s="123"/>
      <c r="H309" s="123"/>
      <c r="I309" s="110"/>
      <c r="J309" s="290"/>
      <c r="K309" s="110"/>
      <c r="L309" s="123"/>
      <c r="M309" s="110"/>
      <c r="N309" s="123"/>
      <c r="O309" s="302"/>
      <c r="P309" s="302"/>
      <c r="Q309" s="302"/>
      <c r="R309" s="302"/>
      <c r="S309" s="302"/>
      <c r="T309" s="302"/>
    </row>
    <row r="310" spans="1:20" ht="10.5" customHeight="1">
      <c r="A310" s="110"/>
      <c r="B310" s="110"/>
      <c r="C310" s="110"/>
      <c r="D310" s="110"/>
      <c r="E310" s="123"/>
      <c r="F310" s="110"/>
      <c r="G310" s="123"/>
      <c r="H310" s="123"/>
      <c r="I310" s="110"/>
      <c r="J310" s="290"/>
      <c r="K310" s="110"/>
      <c r="L310" s="123"/>
      <c r="M310" s="110"/>
      <c r="N310" s="123"/>
      <c r="O310" s="302"/>
      <c r="P310" s="302"/>
      <c r="Q310" s="302"/>
      <c r="R310" s="302"/>
      <c r="S310" s="302"/>
      <c r="T310" s="302"/>
    </row>
    <row r="311" spans="1:20" ht="10.5" customHeight="1">
      <c r="A311" s="110"/>
      <c r="B311" s="110"/>
      <c r="C311" s="110"/>
      <c r="D311" s="110"/>
      <c r="E311" s="123"/>
      <c r="F311" s="110"/>
      <c r="G311" s="123"/>
      <c r="H311" s="123"/>
      <c r="I311" s="110"/>
      <c r="J311" s="290"/>
      <c r="K311" s="110"/>
      <c r="L311" s="123"/>
      <c r="M311" s="110"/>
      <c r="N311" s="123"/>
      <c r="O311" s="302"/>
      <c r="P311" s="302"/>
      <c r="Q311" s="302"/>
      <c r="R311" s="302"/>
      <c r="S311" s="302"/>
      <c r="T311" s="302"/>
    </row>
    <row r="312" spans="1:20" ht="10.5" customHeight="1">
      <c r="A312" s="110"/>
      <c r="B312" s="110"/>
      <c r="C312" s="110"/>
      <c r="D312" s="110"/>
      <c r="E312" s="123"/>
      <c r="F312" s="110"/>
      <c r="G312" s="123"/>
      <c r="H312" s="123"/>
      <c r="I312" s="110"/>
      <c r="J312" s="290"/>
      <c r="K312" s="110"/>
      <c r="L312" s="123"/>
      <c r="M312" s="110"/>
      <c r="N312" s="123"/>
      <c r="O312" s="302"/>
      <c r="P312" s="302"/>
      <c r="Q312" s="302"/>
      <c r="R312" s="302"/>
      <c r="S312" s="302"/>
      <c r="T312" s="302"/>
    </row>
    <row r="313" spans="1:20" ht="10.5" customHeight="1">
      <c r="A313" s="110"/>
      <c r="B313" s="110"/>
      <c r="C313" s="110"/>
      <c r="D313" s="110"/>
      <c r="E313" s="123"/>
      <c r="F313" s="110"/>
      <c r="G313" s="123"/>
      <c r="H313" s="123"/>
      <c r="I313" s="110"/>
      <c r="J313" s="290"/>
      <c r="K313" s="110"/>
      <c r="L313" s="123"/>
      <c r="M313" s="110"/>
      <c r="N313" s="123"/>
      <c r="O313" s="302"/>
      <c r="P313" s="302"/>
      <c r="Q313" s="302"/>
      <c r="R313" s="302"/>
      <c r="S313" s="302"/>
      <c r="T313" s="302"/>
    </row>
    <row r="314" spans="1:20" ht="10.5" customHeight="1">
      <c r="A314" s="110"/>
      <c r="B314" s="110"/>
      <c r="C314" s="110"/>
      <c r="D314" s="110"/>
      <c r="E314" s="123"/>
      <c r="F314" s="110"/>
      <c r="G314" s="123"/>
      <c r="H314" s="123"/>
      <c r="I314" s="110"/>
      <c r="J314" s="290"/>
      <c r="K314" s="110"/>
      <c r="L314" s="123"/>
      <c r="M314" s="110"/>
      <c r="N314" s="123"/>
      <c r="O314" s="302"/>
      <c r="P314" s="302"/>
      <c r="Q314" s="302"/>
      <c r="R314" s="302"/>
      <c r="S314" s="302"/>
      <c r="T314" s="302"/>
    </row>
    <row r="315" spans="1:20" ht="10.5" customHeight="1">
      <c r="A315" s="110"/>
      <c r="B315" s="110"/>
      <c r="C315" s="110"/>
      <c r="D315" s="110"/>
      <c r="E315" s="123"/>
      <c r="F315" s="110"/>
      <c r="G315" s="123"/>
      <c r="H315" s="123"/>
      <c r="I315" s="110"/>
      <c r="J315" s="290"/>
      <c r="K315" s="110"/>
      <c r="L315" s="123"/>
      <c r="M315" s="110"/>
      <c r="N315" s="123"/>
      <c r="O315" s="302"/>
      <c r="P315" s="302"/>
      <c r="Q315" s="302"/>
      <c r="R315" s="302"/>
      <c r="S315" s="302"/>
      <c r="T315" s="302"/>
    </row>
    <row r="316" spans="1:20" ht="10.5" customHeight="1">
      <c r="A316" s="110"/>
      <c r="B316" s="110"/>
      <c r="C316" s="110"/>
      <c r="D316" s="110"/>
      <c r="E316" s="123"/>
      <c r="F316" s="110"/>
      <c r="G316" s="123"/>
      <c r="H316" s="123"/>
      <c r="I316" s="110"/>
      <c r="J316" s="290"/>
      <c r="K316" s="110"/>
      <c r="L316" s="123"/>
      <c r="M316" s="110"/>
      <c r="N316" s="123"/>
      <c r="O316" s="302"/>
      <c r="P316" s="302"/>
      <c r="Q316" s="302"/>
      <c r="R316" s="302"/>
      <c r="S316" s="302"/>
      <c r="T316" s="302"/>
    </row>
    <row r="317" spans="1:20" ht="10.5" customHeight="1">
      <c r="A317" s="110"/>
      <c r="B317" s="110"/>
      <c r="C317" s="110"/>
      <c r="D317" s="110"/>
      <c r="E317" s="123"/>
      <c r="F317" s="110"/>
      <c r="G317" s="123"/>
      <c r="H317" s="123"/>
      <c r="I317" s="110"/>
      <c r="J317" s="290"/>
      <c r="K317" s="110"/>
      <c r="L317" s="123"/>
      <c r="M317" s="110"/>
      <c r="N317" s="123"/>
      <c r="O317" s="302"/>
      <c r="P317" s="302"/>
      <c r="Q317" s="302"/>
      <c r="R317" s="302"/>
      <c r="S317" s="302"/>
      <c r="T317" s="302"/>
    </row>
    <row r="318" spans="1:20" ht="10.5" customHeight="1">
      <c r="A318" s="110"/>
      <c r="B318" s="110"/>
      <c r="C318" s="110"/>
      <c r="D318" s="110"/>
      <c r="E318" s="123"/>
      <c r="F318" s="110"/>
      <c r="G318" s="123"/>
      <c r="H318" s="123"/>
      <c r="I318" s="110"/>
      <c r="J318" s="290"/>
      <c r="K318" s="110"/>
      <c r="L318" s="123"/>
      <c r="M318" s="110"/>
      <c r="N318" s="123"/>
      <c r="O318" s="302"/>
      <c r="P318" s="302"/>
      <c r="Q318" s="302"/>
      <c r="R318" s="302"/>
      <c r="S318" s="302"/>
      <c r="T318" s="302"/>
    </row>
    <row r="319" spans="1:20" ht="10.5" customHeight="1">
      <c r="A319" s="110"/>
      <c r="B319" s="110"/>
      <c r="C319" s="110"/>
      <c r="D319" s="110"/>
      <c r="E319" s="123"/>
      <c r="F319" s="110"/>
      <c r="G319" s="123"/>
      <c r="H319" s="123"/>
      <c r="I319" s="110"/>
      <c r="J319" s="290"/>
      <c r="K319" s="110"/>
      <c r="L319" s="123"/>
      <c r="M319" s="110"/>
      <c r="N319" s="123"/>
      <c r="O319" s="302"/>
      <c r="P319" s="302"/>
      <c r="Q319" s="302"/>
      <c r="R319" s="302"/>
      <c r="S319" s="302"/>
      <c r="T319" s="302"/>
    </row>
    <row r="320" spans="1:20" ht="10.5" customHeight="1">
      <c r="A320" s="110"/>
      <c r="B320" s="110"/>
      <c r="C320" s="110"/>
      <c r="D320" s="110"/>
      <c r="E320" s="123"/>
      <c r="F320" s="110"/>
      <c r="G320" s="123"/>
      <c r="H320" s="123"/>
      <c r="I320" s="110"/>
      <c r="J320" s="290"/>
      <c r="K320" s="110"/>
      <c r="L320" s="123"/>
      <c r="M320" s="110"/>
      <c r="N320" s="123"/>
      <c r="O320" s="302"/>
      <c r="P320" s="302"/>
      <c r="Q320" s="302"/>
      <c r="R320" s="302"/>
      <c r="S320" s="302"/>
      <c r="T320" s="302"/>
    </row>
    <row r="321" spans="1:20" ht="10.5" customHeight="1">
      <c r="A321" s="110"/>
      <c r="B321" s="110"/>
      <c r="C321" s="110"/>
      <c r="D321" s="110"/>
      <c r="E321" s="123"/>
      <c r="F321" s="110"/>
      <c r="G321" s="123"/>
      <c r="H321" s="123"/>
      <c r="I321" s="110"/>
      <c r="J321" s="290"/>
      <c r="K321" s="110"/>
      <c r="L321" s="123"/>
      <c r="M321" s="110"/>
      <c r="N321" s="123"/>
      <c r="O321" s="302"/>
      <c r="P321" s="302"/>
      <c r="Q321" s="302"/>
      <c r="R321" s="302"/>
      <c r="S321" s="302"/>
      <c r="T321" s="302"/>
    </row>
    <row r="322" spans="1:20" ht="10.5" customHeight="1">
      <c r="A322" s="110"/>
      <c r="B322" s="110"/>
      <c r="C322" s="110"/>
      <c r="D322" s="110"/>
      <c r="E322" s="123"/>
      <c r="F322" s="110"/>
      <c r="G322" s="123"/>
      <c r="H322" s="123"/>
      <c r="I322" s="110"/>
      <c r="J322" s="290"/>
      <c r="K322" s="110"/>
      <c r="L322" s="123"/>
      <c r="M322" s="110"/>
      <c r="N322" s="123"/>
      <c r="O322" s="302"/>
      <c r="P322" s="302"/>
      <c r="Q322" s="302"/>
      <c r="R322" s="302"/>
      <c r="S322" s="302"/>
      <c r="T322" s="302"/>
    </row>
    <row r="323" spans="1:20" ht="10.5" customHeight="1">
      <c r="A323" s="110"/>
      <c r="B323" s="110"/>
      <c r="C323" s="110"/>
      <c r="D323" s="110"/>
      <c r="E323" s="110"/>
      <c r="F323" s="110"/>
      <c r="G323" s="123"/>
      <c r="H323" s="123"/>
      <c r="I323" s="110"/>
      <c r="J323" s="290"/>
      <c r="K323" s="110"/>
      <c r="L323" s="123"/>
      <c r="M323" s="110"/>
      <c r="N323" s="123"/>
      <c r="O323" s="302"/>
      <c r="P323" s="302"/>
      <c r="Q323" s="302"/>
      <c r="R323" s="302"/>
      <c r="S323" s="302"/>
      <c r="T323" s="302"/>
    </row>
    <row r="324" spans="1:20" ht="10.5" customHeight="1">
      <c r="A324" s="110"/>
      <c r="B324" s="110"/>
      <c r="C324" s="110"/>
      <c r="D324" s="110"/>
      <c r="E324" s="110"/>
      <c r="F324" s="110"/>
      <c r="G324" s="123"/>
      <c r="H324" s="123"/>
      <c r="I324" s="110"/>
      <c r="J324" s="290"/>
      <c r="K324" s="110"/>
      <c r="L324" s="123"/>
      <c r="M324" s="110"/>
      <c r="N324" s="123"/>
      <c r="O324" s="302"/>
      <c r="P324" s="302"/>
      <c r="Q324" s="302"/>
      <c r="R324" s="302"/>
      <c r="S324" s="302"/>
      <c r="T324" s="302"/>
    </row>
    <row r="325" spans="1:20" ht="10.5" customHeight="1">
      <c r="A325" s="110"/>
      <c r="B325" s="110"/>
      <c r="C325" s="110"/>
      <c r="D325" s="110"/>
      <c r="E325" s="110"/>
      <c r="F325" s="110"/>
      <c r="G325" s="110"/>
      <c r="H325" s="123"/>
      <c r="I325" s="110"/>
      <c r="J325" s="290"/>
      <c r="K325" s="110"/>
      <c r="L325" s="123"/>
      <c r="M325" s="110"/>
      <c r="N325" s="123"/>
      <c r="O325" s="302"/>
      <c r="P325" s="302"/>
      <c r="Q325" s="302"/>
      <c r="R325" s="302"/>
      <c r="S325" s="302"/>
      <c r="T325" s="302"/>
    </row>
    <row r="326" spans="1:20" ht="10.5" customHeight="1">
      <c r="A326" s="110"/>
      <c r="B326" s="110"/>
      <c r="C326" s="110"/>
      <c r="D326" s="110"/>
      <c r="E326" s="110"/>
      <c r="F326" s="110"/>
      <c r="G326" s="110"/>
      <c r="H326" s="123"/>
      <c r="I326" s="110"/>
      <c r="J326" s="290"/>
      <c r="K326" s="110"/>
      <c r="L326" s="123"/>
      <c r="M326" s="110"/>
      <c r="N326" s="123"/>
      <c r="O326" s="302"/>
      <c r="P326" s="302"/>
      <c r="Q326" s="302"/>
      <c r="R326" s="302"/>
      <c r="S326" s="302"/>
      <c r="T326" s="302"/>
    </row>
    <row r="327" spans="1:20" ht="10.5" customHeight="1">
      <c r="A327" s="110"/>
      <c r="B327" s="110"/>
      <c r="C327" s="110"/>
      <c r="D327" s="110"/>
      <c r="E327" s="110"/>
      <c r="F327" s="110"/>
      <c r="G327" s="110"/>
      <c r="H327" s="123"/>
      <c r="I327" s="110"/>
      <c r="J327" s="290"/>
      <c r="K327" s="110"/>
      <c r="L327" s="123"/>
      <c r="M327" s="110"/>
      <c r="N327" s="123"/>
      <c r="O327" s="302"/>
      <c r="P327" s="302"/>
      <c r="Q327" s="302"/>
      <c r="R327" s="302"/>
      <c r="S327" s="302"/>
      <c r="T327" s="302"/>
    </row>
    <row r="328" spans="1:20" ht="10.5" customHeight="1">
      <c r="A328" s="110"/>
      <c r="B328" s="110"/>
      <c r="C328" s="110"/>
      <c r="D328" s="110"/>
      <c r="E328" s="110"/>
      <c r="F328" s="110"/>
      <c r="G328" s="110"/>
      <c r="H328" s="123"/>
      <c r="I328" s="110"/>
      <c r="J328" s="290"/>
      <c r="K328" s="110"/>
      <c r="L328" s="123"/>
      <c r="M328" s="110"/>
      <c r="N328" s="123"/>
      <c r="O328" s="302"/>
      <c r="P328" s="302"/>
      <c r="Q328" s="302"/>
      <c r="R328" s="302"/>
      <c r="S328" s="302"/>
      <c r="T328" s="302"/>
    </row>
    <row r="329" spans="1:20" ht="10.5" customHeight="1">
      <c r="A329" s="110"/>
      <c r="B329" s="110"/>
      <c r="C329" s="110"/>
      <c r="D329" s="110"/>
      <c r="E329" s="110"/>
      <c r="F329" s="110"/>
      <c r="G329" s="110"/>
      <c r="H329" s="123"/>
      <c r="I329" s="110"/>
      <c r="J329" s="290"/>
      <c r="K329" s="110"/>
      <c r="L329" s="123"/>
      <c r="M329" s="110"/>
      <c r="N329" s="123"/>
      <c r="O329" s="302"/>
      <c r="P329" s="302"/>
      <c r="Q329" s="302"/>
      <c r="R329" s="302"/>
      <c r="S329" s="302"/>
      <c r="T329" s="302"/>
    </row>
    <row r="330" spans="1:20" ht="10.5" customHeight="1">
      <c r="A330" s="110"/>
      <c r="B330" s="110"/>
      <c r="C330" s="110"/>
      <c r="D330" s="110"/>
      <c r="E330" s="110"/>
      <c r="F330" s="110"/>
      <c r="G330" s="110"/>
      <c r="H330" s="123"/>
      <c r="I330" s="110"/>
      <c r="J330" s="290"/>
      <c r="K330" s="110"/>
      <c r="L330" s="123"/>
      <c r="M330" s="110"/>
      <c r="N330" s="123"/>
      <c r="O330" s="302"/>
      <c r="P330" s="302"/>
      <c r="Q330" s="302"/>
      <c r="R330" s="302"/>
      <c r="S330" s="302"/>
      <c r="T330" s="302"/>
    </row>
    <row r="331" spans="1:20" ht="10.5" customHeight="1">
      <c r="A331" s="110"/>
      <c r="B331" s="110"/>
      <c r="C331" s="110"/>
      <c r="D331" s="110"/>
      <c r="E331" s="110"/>
      <c r="F331" s="110"/>
      <c r="G331" s="110"/>
      <c r="H331" s="123"/>
      <c r="I331" s="110"/>
      <c r="J331" s="290"/>
      <c r="K331" s="110"/>
      <c r="L331" s="123"/>
      <c r="M331" s="110"/>
      <c r="N331" s="123"/>
      <c r="O331" s="302"/>
      <c r="P331" s="302"/>
      <c r="Q331" s="302"/>
      <c r="R331" s="302"/>
      <c r="S331" s="302"/>
      <c r="T331" s="302"/>
    </row>
    <row r="332" spans="1:20" ht="10.5" customHeight="1">
      <c r="A332" s="110"/>
      <c r="B332" s="110"/>
      <c r="C332" s="110"/>
      <c r="D332" s="110"/>
      <c r="E332" s="110"/>
      <c r="F332" s="110"/>
      <c r="G332" s="110"/>
      <c r="H332" s="123"/>
      <c r="I332" s="110"/>
      <c r="J332" s="290"/>
      <c r="K332" s="110"/>
      <c r="L332" s="123"/>
      <c r="M332" s="110"/>
      <c r="N332" s="123"/>
      <c r="O332" s="302"/>
      <c r="P332" s="302"/>
      <c r="Q332" s="302"/>
      <c r="R332" s="302"/>
      <c r="S332" s="302"/>
      <c r="T332" s="302"/>
    </row>
    <row r="333" spans="1:20" ht="10.5" customHeight="1">
      <c r="A333" s="110"/>
      <c r="B333" s="110"/>
      <c r="C333" s="110"/>
      <c r="D333" s="110"/>
      <c r="E333" s="110"/>
      <c r="F333" s="110"/>
      <c r="G333" s="110"/>
      <c r="H333" s="123"/>
      <c r="I333" s="110"/>
      <c r="J333" s="290"/>
      <c r="K333" s="110"/>
      <c r="L333" s="123"/>
      <c r="M333" s="110"/>
      <c r="N333" s="123"/>
      <c r="O333" s="302"/>
      <c r="P333" s="302"/>
      <c r="Q333" s="302"/>
      <c r="R333" s="302"/>
      <c r="S333" s="302"/>
      <c r="T333" s="302"/>
    </row>
    <row r="334" spans="1:20" ht="10.5" customHeight="1">
      <c r="A334" s="110"/>
      <c r="B334" s="110"/>
      <c r="C334" s="110"/>
      <c r="D334" s="110"/>
      <c r="E334" s="110"/>
      <c r="F334" s="110"/>
      <c r="G334" s="110"/>
      <c r="H334" s="123"/>
      <c r="I334" s="110"/>
      <c r="J334" s="290"/>
      <c r="K334" s="110"/>
      <c r="L334" s="123"/>
      <c r="M334" s="110"/>
      <c r="N334" s="123"/>
      <c r="O334" s="302"/>
      <c r="P334" s="302"/>
      <c r="Q334" s="302"/>
      <c r="R334" s="302"/>
      <c r="S334" s="302"/>
      <c r="T334" s="302"/>
    </row>
    <row r="335" spans="1:20" ht="10.5" customHeight="1">
      <c r="A335" s="110"/>
      <c r="B335" s="110"/>
      <c r="C335" s="110"/>
      <c r="D335" s="110"/>
      <c r="E335" s="110"/>
      <c r="F335" s="110"/>
      <c r="G335" s="110"/>
      <c r="H335" s="123"/>
      <c r="I335" s="110"/>
      <c r="J335" s="290"/>
      <c r="K335" s="110"/>
      <c r="L335" s="123"/>
      <c r="M335" s="110"/>
      <c r="N335" s="123"/>
      <c r="O335" s="302"/>
      <c r="P335" s="302"/>
      <c r="Q335" s="302"/>
      <c r="R335" s="302"/>
      <c r="S335" s="302"/>
      <c r="T335" s="302"/>
    </row>
    <row r="336" spans="1:20" ht="10.5" customHeight="1">
      <c r="A336" s="110"/>
      <c r="B336" s="110"/>
      <c r="C336" s="110"/>
      <c r="D336" s="110"/>
      <c r="E336" s="110"/>
      <c r="F336" s="110"/>
      <c r="G336" s="110"/>
      <c r="H336" s="123"/>
      <c r="I336" s="110"/>
      <c r="J336" s="290"/>
      <c r="K336" s="110"/>
      <c r="L336" s="123"/>
      <c r="M336" s="110"/>
      <c r="N336" s="123"/>
      <c r="O336" s="302"/>
      <c r="P336" s="302"/>
      <c r="Q336" s="302"/>
      <c r="R336" s="302"/>
      <c r="S336" s="302"/>
      <c r="T336" s="302"/>
    </row>
    <row r="337" spans="1:20" ht="10.5" customHeight="1">
      <c r="A337" s="110"/>
      <c r="B337" s="110"/>
      <c r="C337" s="110"/>
      <c r="D337" s="110"/>
      <c r="E337" s="110"/>
      <c r="F337" s="110"/>
      <c r="G337" s="110"/>
      <c r="H337" s="123"/>
      <c r="I337" s="110"/>
      <c r="J337" s="290"/>
      <c r="K337" s="110"/>
      <c r="L337" s="123"/>
      <c r="M337" s="110"/>
      <c r="N337" s="123"/>
      <c r="O337" s="302"/>
      <c r="P337" s="302"/>
      <c r="Q337" s="302"/>
      <c r="R337" s="302"/>
      <c r="S337" s="302"/>
      <c r="T337" s="302"/>
    </row>
    <row r="338" spans="1:20" ht="10.5" customHeight="1">
      <c r="A338" s="110"/>
      <c r="B338" s="110"/>
      <c r="C338" s="110"/>
      <c r="D338" s="110"/>
      <c r="E338" s="110"/>
      <c r="F338" s="110"/>
      <c r="G338" s="110"/>
      <c r="H338" s="123"/>
      <c r="I338" s="110"/>
      <c r="J338" s="290"/>
      <c r="K338" s="110"/>
      <c r="L338" s="123"/>
      <c r="M338" s="110"/>
      <c r="N338" s="123"/>
      <c r="O338" s="302"/>
      <c r="P338" s="302"/>
      <c r="Q338" s="302"/>
      <c r="R338" s="302"/>
      <c r="S338" s="302"/>
      <c r="T338" s="302"/>
    </row>
    <row r="339" spans="1:20" ht="10.5" customHeight="1">
      <c r="A339" s="110"/>
      <c r="B339" s="110"/>
      <c r="C339" s="110"/>
      <c r="D339" s="110"/>
      <c r="E339" s="110"/>
      <c r="F339" s="110"/>
      <c r="G339" s="110"/>
      <c r="H339" s="123"/>
      <c r="I339" s="110"/>
      <c r="J339" s="290"/>
      <c r="K339" s="110"/>
      <c r="L339" s="123"/>
      <c r="M339" s="110"/>
      <c r="N339" s="123"/>
      <c r="O339" s="302"/>
      <c r="P339" s="302"/>
      <c r="Q339" s="302"/>
      <c r="R339" s="302"/>
      <c r="S339" s="302"/>
      <c r="T339" s="302"/>
    </row>
    <row r="340" spans="1:20" ht="10.5" customHeight="1">
      <c r="A340" s="110"/>
      <c r="B340" s="110"/>
      <c r="C340" s="110"/>
      <c r="D340" s="110"/>
      <c r="E340" s="110"/>
      <c r="F340" s="110"/>
      <c r="G340" s="110"/>
      <c r="H340" s="123"/>
      <c r="I340" s="110"/>
      <c r="J340" s="290"/>
      <c r="K340" s="110"/>
      <c r="L340" s="123"/>
      <c r="M340" s="110"/>
      <c r="N340" s="123"/>
      <c r="O340" s="302"/>
      <c r="P340" s="302"/>
      <c r="Q340" s="302"/>
      <c r="R340" s="302"/>
      <c r="S340" s="302"/>
      <c r="T340" s="302"/>
    </row>
    <row r="341" spans="1:20" ht="10.5" customHeight="1">
      <c r="A341" s="110"/>
      <c r="B341" s="110"/>
      <c r="C341" s="110"/>
      <c r="D341" s="110"/>
      <c r="E341" s="110"/>
      <c r="F341" s="110"/>
      <c r="G341" s="110"/>
      <c r="H341" s="123"/>
      <c r="I341" s="110"/>
      <c r="J341" s="290"/>
      <c r="K341" s="110"/>
      <c r="L341" s="123"/>
      <c r="M341" s="110"/>
      <c r="N341" s="123"/>
      <c r="O341" s="302"/>
      <c r="P341" s="302"/>
      <c r="Q341" s="302"/>
      <c r="R341" s="302"/>
      <c r="S341" s="302"/>
      <c r="T341" s="302"/>
    </row>
    <row r="342" spans="1:20" ht="10.5" customHeight="1">
      <c r="A342" s="110"/>
      <c r="B342" s="110"/>
      <c r="C342" s="110"/>
      <c r="D342" s="110"/>
      <c r="E342" s="110"/>
      <c r="F342" s="110"/>
      <c r="G342" s="110"/>
      <c r="H342" s="123"/>
      <c r="I342" s="110"/>
      <c r="J342" s="290"/>
      <c r="K342" s="110"/>
      <c r="L342" s="123"/>
      <c r="M342" s="110"/>
      <c r="N342" s="123"/>
      <c r="O342" s="302"/>
      <c r="P342" s="302"/>
      <c r="Q342" s="302"/>
      <c r="R342" s="302"/>
      <c r="S342" s="302"/>
      <c r="T342" s="302"/>
    </row>
    <row r="343" spans="1:20" ht="10.5" customHeight="1">
      <c r="A343" s="110"/>
      <c r="B343" s="110"/>
      <c r="C343" s="110"/>
      <c r="D343" s="110"/>
      <c r="E343" s="110"/>
      <c r="F343" s="110"/>
      <c r="G343" s="110"/>
      <c r="H343" s="123"/>
      <c r="I343" s="110"/>
      <c r="J343" s="290"/>
      <c r="K343" s="110"/>
      <c r="L343" s="123"/>
      <c r="M343" s="110"/>
      <c r="N343" s="123"/>
      <c r="O343" s="302"/>
      <c r="P343" s="302"/>
      <c r="Q343" s="302"/>
      <c r="R343" s="302"/>
      <c r="S343" s="302"/>
      <c r="T343" s="302"/>
    </row>
    <row r="344" spans="1:20" ht="10.5" customHeight="1">
      <c r="A344" s="110"/>
      <c r="B344" s="110"/>
      <c r="C344" s="110"/>
      <c r="D344" s="110"/>
      <c r="E344" s="110"/>
      <c r="F344" s="110"/>
      <c r="G344" s="110"/>
      <c r="H344" s="123"/>
      <c r="I344" s="110"/>
      <c r="J344" s="290"/>
      <c r="K344" s="110"/>
      <c r="L344" s="123"/>
      <c r="M344" s="110"/>
      <c r="N344" s="123"/>
      <c r="O344" s="302"/>
      <c r="P344" s="302"/>
      <c r="Q344" s="302"/>
      <c r="R344" s="302"/>
      <c r="S344" s="302"/>
      <c r="T344" s="302"/>
    </row>
    <row r="345" spans="1:20" ht="10.5" customHeight="1">
      <c r="A345" s="110"/>
      <c r="B345" s="110"/>
      <c r="C345" s="110"/>
      <c r="D345" s="110"/>
      <c r="E345" s="110"/>
      <c r="F345" s="110"/>
      <c r="G345" s="110"/>
      <c r="H345" s="123"/>
      <c r="I345" s="110"/>
      <c r="J345" s="290"/>
      <c r="K345" s="110"/>
      <c r="L345" s="123"/>
      <c r="M345" s="110"/>
      <c r="N345" s="123"/>
      <c r="O345" s="302"/>
      <c r="P345" s="302"/>
      <c r="Q345" s="302"/>
      <c r="R345" s="302"/>
      <c r="S345" s="302"/>
      <c r="T345" s="302"/>
    </row>
    <row r="346" spans="1:20" ht="10.5" customHeight="1">
      <c r="A346" s="110"/>
      <c r="B346" s="110"/>
      <c r="C346" s="110"/>
      <c r="D346" s="110"/>
      <c r="E346" s="110"/>
      <c r="F346" s="110"/>
      <c r="G346" s="110"/>
      <c r="H346" s="123"/>
      <c r="I346" s="110"/>
      <c r="J346" s="290"/>
      <c r="K346" s="110"/>
      <c r="L346" s="123"/>
      <c r="M346" s="110"/>
      <c r="N346" s="123"/>
      <c r="O346" s="302"/>
      <c r="P346" s="302"/>
      <c r="Q346" s="302"/>
      <c r="R346" s="302"/>
      <c r="S346" s="302"/>
      <c r="T346" s="302"/>
    </row>
    <row r="347" spans="1:20" ht="10.5" customHeight="1">
      <c r="A347" s="110"/>
      <c r="B347" s="110"/>
      <c r="C347" s="110"/>
      <c r="D347" s="110"/>
      <c r="E347" s="110"/>
      <c r="F347" s="110"/>
      <c r="G347" s="110"/>
      <c r="H347" s="123"/>
      <c r="I347" s="110"/>
      <c r="J347" s="290"/>
      <c r="K347" s="110"/>
      <c r="L347" s="123"/>
      <c r="M347" s="110"/>
      <c r="N347" s="123"/>
      <c r="O347" s="302"/>
      <c r="P347" s="302"/>
      <c r="Q347" s="302"/>
      <c r="R347" s="302"/>
      <c r="S347" s="302"/>
      <c r="T347" s="302"/>
    </row>
    <row r="348" spans="1:20" ht="10.5" customHeight="1">
      <c r="A348" s="110"/>
      <c r="B348" s="110"/>
      <c r="C348" s="110"/>
      <c r="D348" s="110"/>
      <c r="E348" s="110"/>
      <c r="F348" s="110"/>
      <c r="G348" s="110"/>
      <c r="H348" s="123"/>
      <c r="I348" s="110"/>
      <c r="J348" s="290"/>
      <c r="K348" s="110"/>
      <c r="L348" s="123"/>
      <c r="M348" s="110"/>
      <c r="N348" s="123"/>
      <c r="O348" s="302"/>
      <c r="P348" s="302"/>
      <c r="Q348" s="302"/>
      <c r="R348" s="302"/>
      <c r="S348" s="302"/>
      <c r="T348" s="302"/>
    </row>
    <row r="349" spans="1:20" ht="10.5" customHeight="1">
      <c r="A349" s="110"/>
      <c r="B349" s="110"/>
      <c r="C349" s="110"/>
      <c r="D349" s="110"/>
      <c r="E349" s="110"/>
      <c r="F349" s="110"/>
      <c r="G349" s="110"/>
      <c r="H349" s="123"/>
      <c r="I349" s="110"/>
      <c r="J349" s="290"/>
      <c r="K349" s="110"/>
      <c r="L349" s="123"/>
      <c r="M349" s="110"/>
      <c r="N349" s="123"/>
      <c r="O349" s="302"/>
      <c r="P349" s="302"/>
      <c r="Q349" s="302"/>
      <c r="R349" s="302"/>
      <c r="S349" s="302"/>
      <c r="T349" s="302"/>
    </row>
    <row r="350" spans="1:20" ht="10.5" customHeight="1">
      <c r="A350" s="110"/>
      <c r="B350" s="110"/>
      <c r="C350" s="110"/>
      <c r="D350" s="110"/>
      <c r="E350" s="110"/>
      <c r="F350" s="110"/>
      <c r="G350" s="110"/>
      <c r="H350" s="123"/>
      <c r="I350" s="110"/>
      <c r="J350" s="290"/>
      <c r="K350" s="110"/>
      <c r="L350" s="123"/>
      <c r="M350" s="110"/>
      <c r="N350" s="123"/>
      <c r="O350" s="302"/>
      <c r="P350" s="302"/>
      <c r="Q350" s="302"/>
      <c r="R350" s="302"/>
      <c r="S350" s="302"/>
      <c r="T350" s="302"/>
    </row>
    <row r="351" spans="1:20" ht="10.5" customHeight="1">
      <c r="A351" s="110"/>
      <c r="B351" s="110"/>
      <c r="C351" s="110"/>
      <c r="D351" s="110"/>
      <c r="E351" s="110"/>
      <c r="F351" s="110"/>
      <c r="G351" s="110"/>
      <c r="H351" s="123"/>
      <c r="I351" s="110"/>
      <c r="J351" s="290"/>
      <c r="K351" s="110"/>
      <c r="L351" s="123"/>
      <c r="M351" s="110"/>
      <c r="N351" s="123"/>
      <c r="O351" s="302"/>
      <c r="P351" s="302"/>
      <c r="Q351" s="302"/>
      <c r="R351" s="302"/>
      <c r="S351" s="302"/>
      <c r="T351" s="302"/>
    </row>
    <row r="352" spans="1:20" ht="10.5" customHeight="1">
      <c r="A352" s="110"/>
      <c r="B352" s="110"/>
      <c r="C352" s="110"/>
      <c r="D352" s="110"/>
      <c r="E352" s="110"/>
      <c r="F352" s="110"/>
      <c r="G352" s="110"/>
      <c r="H352" s="123"/>
      <c r="I352" s="110"/>
      <c r="J352" s="290"/>
      <c r="K352" s="110"/>
      <c r="L352" s="123"/>
      <c r="M352" s="110"/>
      <c r="N352" s="123"/>
      <c r="O352" s="302"/>
      <c r="P352" s="302"/>
      <c r="Q352" s="302"/>
      <c r="R352" s="302"/>
      <c r="S352" s="302"/>
      <c r="T352" s="302"/>
    </row>
    <row r="353" spans="1:20" ht="10.5" customHeight="1">
      <c r="A353" s="110"/>
      <c r="B353" s="110"/>
      <c r="C353" s="110"/>
      <c r="D353" s="110"/>
      <c r="E353" s="110"/>
      <c r="F353" s="110"/>
      <c r="G353" s="110"/>
      <c r="H353" s="123"/>
      <c r="I353" s="110"/>
      <c r="J353" s="290"/>
      <c r="K353" s="110"/>
      <c r="L353" s="123"/>
      <c r="M353" s="110"/>
      <c r="N353" s="123"/>
      <c r="O353" s="302"/>
      <c r="P353" s="302"/>
      <c r="Q353" s="302"/>
      <c r="R353" s="302"/>
      <c r="S353" s="302"/>
      <c r="T353" s="302"/>
    </row>
    <row r="354" spans="1:20" ht="10.5" customHeight="1">
      <c r="A354" s="110"/>
      <c r="B354" s="110"/>
      <c r="C354" s="110"/>
      <c r="D354" s="110"/>
      <c r="E354" s="110"/>
      <c r="F354" s="110"/>
      <c r="G354" s="110"/>
      <c r="H354" s="123"/>
      <c r="I354" s="110"/>
      <c r="J354" s="290"/>
      <c r="K354" s="110"/>
      <c r="L354" s="123"/>
      <c r="M354" s="110"/>
      <c r="N354" s="123"/>
      <c r="O354" s="302"/>
      <c r="P354" s="302"/>
      <c r="Q354" s="302"/>
      <c r="R354" s="302"/>
      <c r="S354" s="302"/>
      <c r="T354" s="302"/>
    </row>
    <row r="355" spans="1:20" ht="10.5" customHeight="1">
      <c r="A355" s="110"/>
      <c r="B355" s="110"/>
      <c r="C355" s="110"/>
      <c r="D355" s="110"/>
      <c r="E355" s="110"/>
      <c r="F355" s="110"/>
      <c r="G355" s="110"/>
      <c r="H355" s="123"/>
      <c r="I355" s="110"/>
      <c r="J355" s="290"/>
      <c r="K355" s="110"/>
      <c r="L355" s="123"/>
      <c r="M355" s="110"/>
      <c r="N355" s="123"/>
      <c r="O355" s="302"/>
      <c r="P355" s="302"/>
      <c r="Q355" s="302"/>
      <c r="R355" s="302"/>
      <c r="S355" s="302"/>
      <c r="T355" s="302"/>
    </row>
    <row r="356" spans="1:20" ht="10.5" customHeight="1">
      <c r="A356" s="110"/>
      <c r="B356" s="110"/>
      <c r="C356" s="110"/>
      <c r="D356" s="110"/>
      <c r="E356" s="110"/>
      <c r="F356" s="110"/>
      <c r="G356" s="110"/>
      <c r="H356" s="123"/>
      <c r="I356" s="110"/>
      <c r="J356" s="290"/>
      <c r="K356" s="110"/>
      <c r="L356" s="123"/>
      <c r="M356" s="110"/>
      <c r="N356" s="123"/>
      <c r="O356" s="302"/>
      <c r="P356" s="302"/>
      <c r="Q356" s="302"/>
      <c r="R356" s="302"/>
      <c r="S356" s="302"/>
      <c r="T356" s="302"/>
    </row>
    <row r="357" spans="1:20" ht="10.5" customHeight="1">
      <c r="A357" s="110"/>
      <c r="B357" s="110"/>
      <c r="C357" s="110"/>
      <c r="D357" s="110"/>
      <c r="E357" s="110"/>
      <c r="F357" s="110"/>
      <c r="G357" s="110"/>
      <c r="H357" s="123"/>
      <c r="I357" s="110"/>
      <c r="J357" s="290"/>
      <c r="K357" s="110"/>
      <c r="L357" s="123"/>
      <c r="M357" s="110"/>
      <c r="N357" s="123"/>
      <c r="O357" s="302"/>
      <c r="P357" s="302"/>
      <c r="Q357" s="302"/>
      <c r="R357" s="302"/>
      <c r="S357" s="302"/>
      <c r="T357" s="302"/>
    </row>
    <row r="358" spans="1:20" ht="10.5" customHeight="1">
      <c r="A358" s="110"/>
      <c r="B358" s="110"/>
      <c r="C358" s="110"/>
      <c r="D358" s="110"/>
      <c r="E358" s="110"/>
      <c r="F358" s="110"/>
      <c r="G358" s="110"/>
      <c r="H358" s="123"/>
      <c r="I358" s="110"/>
      <c r="J358" s="290"/>
      <c r="K358" s="110"/>
      <c r="L358" s="123"/>
      <c r="M358" s="110"/>
      <c r="N358" s="123"/>
      <c r="O358" s="302"/>
      <c r="P358" s="302"/>
      <c r="Q358" s="302"/>
      <c r="R358" s="302"/>
      <c r="S358" s="302"/>
      <c r="T358" s="302"/>
    </row>
    <row r="359" spans="1:20" ht="10.5" customHeight="1">
      <c r="A359" s="110"/>
      <c r="B359" s="110"/>
      <c r="C359" s="110"/>
      <c r="D359" s="110"/>
      <c r="E359" s="110"/>
      <c r="F359" s="110"/>
      <c r="G359" s="110"/>
      <c r="H359" s="123"/>
      <c r="I359" s="110"/>
      <c r="J359" s="290"/>
      <c r="K359" s="110"/>
      <c r="L359" s="123"/>
      <c r="M359" s="110"/>
      <c r="N359" s="123"/>
      <c r="O359" s="302"/>
      <c r="P359" s="302"/>
      <c r="Q359" s="302"/>
      <c r="R359" s="302"/>
      <c r="S359" s="302"/>
      <c r="T359" s="302"/>
    </row>
    <row r="360" spans="1:20" ht="10.5" customHeight="1">
      <c r="A360" s="110"/>
      <c r="B360" s="110"/>
      <c r="C360" s="110"/>
      <c r="D360" s="110"/>
      <c r="E360" s="110"/>
      <c r="F360" s="110"/>
      <c r="G360" s="110"/>
      <c r="H360" s="123"/>
      <c r="I360" s="110"/>
      <c r="J360" s="290"/>
      <c r="K360" s="110"/>
      <c r="L360" s="123"/>
      <c r="M360" s="110"/>
      <c r="N360" s="123"/>
      <c r="O360" s="302"/>
      <c r="P360" s="302"/>
      <c r="Q360" s="302"/>
      <c r="R360" s="302"/>
      <c r="S360" s="302"/>
      <c r="T360" s="302"/>
    </row>
    <row r="361" spans="1:20" ht="10.5" customHeight="1">
      <c r="A361" s="110"/>
      <c r="B361" s="110"/>
      <c r="C361" s="110"/>
      <c r="D361" s="110"/>
      <c r="E361" s="110"/>
      <c r="F361" s="110"/>
      <c r="G361" s="110"/>
      <c r="H361" s="123"/>
      <c r="I361" s="110"/>
      <c r="J361" s="290"/>
      <c r="K361" s="110"/>
      <c r="L361" s="123"/>
      <c r="M361" s="110"/>
      <c r="N361" s="123"/>
      <c r="O361" s="302"/>
      <c r="P361" s="302"/>
      <c r="Q361" s="302"/>
      <c r="R361" s="302"/>
      <c r="S361" s="302"/>
      <c r="T361" s="302"/>
    </row>
    <row r="362" spans="1:20" ht="10.5" customHeight="1">
      <c r="A362" s="110"/>
      <c r="B362" s="110"/>
      <c r="C362" s="110"/>
      <c r="D362" s="110"/>
      <c r="E362" s="110"/>
      <c r="F362" s="110"/>
      <c r="G362" s="110"/>
      <c r="H362" s="123"/>
      <c r="I362" s="110"/>
      <c r="J362" s="290"/>
      <c r="K362" s="110"/>
      <c r="L362" s="123"/>
      <c r="M362" s="110"/>
      <c r="N362" s="123"/>
      <c r="O362" s="302"/>
      <c r="P362" s="302"/>
      <c r="Q362" s="302"/>
      <c r="R362" s="302"/>
      <c r="S362" s="302"/>
      <c r="T362" s="302"/>
    </row>
    <row r="363" spans="1:20" ht="10.5" customHeight="1">
      <c r="A363" s="110"/>
      <c r="B363" s="110"/>
      <c r="C363" s="110"/>
      <c r="D363" s="110"/>
      <c r="E363" s="110"/>
      <c r="F363" s="110"/>
      <c r="G363" s="110"/>
      <c r="H363" s="123"/>
      <c r="I363" s="110"/>
      <c r="J363" s="290"/>
      <c r="K363" s="110"/>
      <c r="L363" s="123"/>
      <c r="M363" s="110"/>
      <c r="N363" s="123"/>
      <c r="O363" s="302"/>
      <c r="P363" s="302"/>
      <c r="Q363" s="302"/>
      <c r="R363" s="302"/>
      <c r="S363" s="302"/>
      <c r="T363" s="302"/>
    </row>
    <row r="364" spans="1:20" ht="10.5" customHeight="1">
      <c r="A364" s="110"/>
      <c r="B364" s="110"/>
      <c r="C364" s="110"/>
      <c r="D364" s="110"/>
      <c r="E364" s="110"/>
      <c r="F364" s="110"/>
      <c r="G364" s="110"/>
      <c r="H364" s="123"/>
      <c r="I364" s="110"/>
      <c r="J364" s="290"/>
      <c r="K364" s="110"/>
      <c r="L364" s="123"/>
      <c r="M364" s="110"/>
      <c r="N364" s="123"/>
      <c r="O364" s="302"/>
      <c r="P364" s="302"/>
      <c r="Q364" s="302"/>
      <c r="R364" s="302"/>
      <c r="S364" s="302"/>
      <c r="T364" s="302"/>
    </row>
    <row r="365" spans="1:20" ht="10.5" customHeight="1">
      <c r="A365" s="110"/>
      <c r="B365" s="110"/>
      <c r="C365" s="110"/>
      <c r="D365" s="110"/>
      <c r="E365" s="110"/>
      <c r="F365" s="110"/>
      <c r="G365" s="110"/>
      <c r="H365" s="123"/>
      <c r="I365" s="110"/>
      <c r="J365" s="290"/>
      <c r="K365" s="110"/>
      <c r="L365" s="123"/>
      <c r="M365" s="110"/>
      <c r="N365" s="123"/>
      <c r="O365" s="302"/>
      <c r="P365" s="302"/>
      <c r="Q365" s="302"/>
      <c r="R365" s="302"/>
      <c r="S365" s="302"/>
      <c r="T365" s="302"/>
    </row>
    <row r="366" spans="1:20" ht="10.5" customHeight="1">
      <c r="A366" s="110"/>
      <c r="B366" s="110"/>
      <c r="C366" s="110"/>
      <c r="D366" s="110"/>
      <c r="E366" s="110"/>
      <c r="F366" s="110"/>
      <c r="G366" s="110"/>
      <c r="H366" s="123"/>
      <c r="I366" s="110"/>
      <c r="J366" s="290"/>
      <c r="K366" s="110"/>
      <c r="L366" s="123"/>
      <c r="M366" s="110"/>
      <c r="N366" s="123"/>
      <c r="O366" s="302"/>
      <c r="P366" s="302"/>
      <c r="Q366" s="302"/>
      <c r="R366" s="302"/>
      <c r="S366" s="302"/>
      <c r="T366" s="302"/>
    </row>
    <row r="367" spans="1:20" ht="10.5" customHeight="1">
      <c r="A367" s="110"/>
      <c r="B367" s="110"/>
      <c r="C367" s="110"/>
      <c r="D367" s="110"/>
      <c r="E367" s="110"/>
      <c r="F367" s="110"/>
      <c r="G367" s="110"/>
      <c r="H367" s="123"/>
      <c r="I367" s="110"/>
      <c r="J367" s="290"/>
      <c r="K367" s="110"/>
      <c r="L367" s="123"/>
      <c r="M367" s="110"/>
      <c r="N367" s="123"/>
      <c r="O367" s="302"/>
      <c r="P367" s="302"/>
      <c r="Q367" s="302"/>
      <c r="R367" s="302"/>
      <c r="S367" s="302"/>
      <c r="T367" s="302"/>
    </row>
    <row r="368" spans="1:20" ht="10.5" customHeight="1">
      <c r="A368" s="110"/>
      <c r="B368" s="110"/>
      <c r="C368" s="110"/>
      <c r="D368" s="110"/>
      <c r="E368" s="110"/>
      <c r="F368" s="110"/>
      <c r="G368" s="110"/>
      <c r="H368" s="123"/>
      <c r="I368" s="110"/>
      <c r="J368" s="290"/>
      <c r="K368" s="110"/>
      <c r="L368" s="123"/>
      <c r="M368" s="110"/>
      <c r="N368" s="123"/>
      <c r="O368" s="302"/>
      <c r="P368" s="302"/>
      <c r="Q368" s="302"/>
      <c r="R368" s="302"/>
      <c r="S368" s="302"/>
      <c r="T368" s="302"/>
    </row>
    <row r="369" spans="1:20" ht="10.5" customHeight="1">
      <c r="A369" s="110"/>
      <c r="B369" s="110"/>
      <c r="C369" s="110"/>
      <c r="D369" s="110"/>
      <c r="E369" s="110"/>
      <c r="F369" s="110"/>
      <c r="G369" s="110"/>
      <c r="H369" s="123"/>
      <c r="I369" s="110"/>
      <c r="J369" s="290"/>
      <c r="K369" s="110"/>
      <c r="L369" s="123"/>
      <c r="M369" s="110"/>
      <c r="N369" s="123"/>
      <c r="O369" s="302"/>
      <c r="P369" s="302"/>
      <c r="Q369" s="302"/>
      <c r="R369" s="302"/>
      <c r="S369" s="302"/>
      <c r="T369" s="302"/>
    </row>
    <row r="370" spans="1:20" ht="10.5" customHeight="1">
      <c r="A370" s="110"/>
      <c r="B370" s="110"/>
      <c r="C370" s="110"/>
      <c r="D370" s="110"/>
      <c r="E370" s="110"/>
      <c r="F370" s="110"/>
      <c r="G370" s="110"/>
      <c r="H370" s="123"/>
      <c r="I370" s="110"/>
      <c r="J370" s="290"/>
      <c r="K370" s="110"/>
      <c r="L370" s="123"/>
      <c r="M370" s="110"/>
      <c r="N370" s="123"/>
      <c r="O370" s="302"/>
      <c r="P370" s="302"/>
      <c r="Q370" s="302"/>
      <c r="R370" s="302"/>
      <c r="S370" s="302"/>
      <c r="T370" s="302"/>
    </row>
    <row r="371" spans="1:20" ht="10.5" customHeight="1">
      <c r="A371" s="110"/>
      <c r="B371" s="110"/>
      <c r="C371" s="110"/>
      <c r="D371" s="110"/>
      <c r="E371" s="110"/>
      <c r="F371" s="110"/>
      <c r="G371" s="110"/>
      <c r="H371" s="123"/>
      <c r="I371" s="110"/>
      <c r="J371" s="290"/>
      <c r="K371" s="110"/>
      <c r="L371" s="123"/>
      <c r="M371" s="110"/>
      <c r="N371" s="123"/>
      <c r="O371" s="302"/>
      <c r="P371" s="302"/>
      <c r="Q371" s="302"/>
      <c r="R371" s="302"/>
      <c r="S371" s="302"/>
      <c r="T371" s="302"/>
    </row>
    <row r="372" spans="1:20" ht="10.5" customHeight="1">
      <c r="A372" s="302"/>
      <c r="B372" s="302"/>
      <c r="C372" s="302"/>
      <c r="D372" s="302"/>
      <c r="E372" s="302"/>
      <c r="F372" s="302"/>
      <c r="G372" s="302"/>
      <c r="H372" s="45"/>
      <c r="I372" s="302"/>
      <c r="J372" s="303"/>
      <c r="K372" s="302"/>
      <c r="L372" s="45"/>
      <c r="M372" s="302"/>
      <c r="N372" s="45"/>
      <c r="O372" s="302"/>
      <c r="P372" s="302"/>
      <c r="Q372" s="302"/>
      <c r="R372" s="302"/>
      <c r="S372" s="302"/>
      <c r="T372" s="302"/>
    </row>
    <row r="373" spans="1:20" ht="10.5" customHeight="1">
      <c r="A373" s="302"/>
      <c r="B373" s="302"/>
      <c r="C373" s="302"/>
      <c r="D373" s="302"/>
      <c r="E373" s="302"/>
      <c r="F373" s="302"/>
      <c r="G373" s="302"/>
      <c r="H373" s="45"/>
      <c r="I373" s="302"/>
      <c r="J373" s="303"/>
      <c r="K373" s="302"/>
      <c r="L373" s="45"/>
      <c r="M373" s="302"/>
      <c r="N373" s="45"/>
      <c r="O373" s="302"/>
      <c r="P373" s="302"/>
      <c r="Q373" s="302"/>
      <c r="R373" s="302"/>
      <c r="S373" s="302"/>
      <c r="T373" s="302"/>
    </row>
    <row r="374" spans="1:20" ht="10.5" customHeight="1">
      <c r="A374" s="302"/>
      <c r="B374" s="302"/>
      <c r="C374" s="302"/>
      <c r="D374" s="302"/>
      <c r="E374" s="302"/>
      <c r="F374" s="302"/>
      <c r="G374" s="302"/>
      <c r="H374" s="45"/>
      <c r="I374" s="302"/>
      <c r="J374" s="303"/>
      <c r="K374" s="302"/>
      <c r="L374" s="45"/>
      <c r="M374" s="302"/>
      <c r="N374" s="45"/>
      <c r="O374" s="302"/>
      <c r="P374" s="302"/>
      <c r="Q374" s="302"/>
      <c r="R374" s="302"/>
      <c r="S374" s="302"/>
      <c r="T374" s="302"/>
    </row>
    <row r="375" spans="1:20" ht="10.5" customHeight="1">
      <c r="A375" s="302"/>
      <c r="B375" s="302"/>
      <c r="C375" s="302"/>
      <c r="D375" s="302"/>
      <c r="E375" s="302"/>
      <c r="F375" s="302"/>
      <c r="G375" s="302"/>
      <c r="H375" s="45"/>
      <c r="I375" s="302"/>
      <c r="J375" s="303"/>
      <c r="K375" s="302"/>
      <c r="L375" s="45"/>
      <c r="M375" s="302"/>
      <c r="N375" s="45"/>
      <c r="O375" s="302"/>
      <c r="P375" s="302"/>
      <c r="Q375" s="302"/>
      <c r="R375" s="302"/>
      <c r="S375" s="302"/>
      <c r="T375" s="302"/>
    </row>
    <row r="376" spans="1:20" ht="10.5" customHeight="1">
      <c r="A376" s="302"/>
      <c r="B376" s="302"/>
      <c r="C376" s="302"/>
      <c r="D376" s="302"/>
      <c r="E376" s="302"/>
      <c r="F376" s="302"/>
      <c r="G376" s="302"/>
      <c r="H376" s="45"/>
      <c r="I376" s="302"/>
      <c r="J376" s="303"/>
      <c r="K376" s="302"/>
      <c r="L376" s="45"/>
      <c r="M376" s="302"/>
      <c r="N376" s="45"/>
      <c r="O376" s="302"/>
      <c r="P376" s="302"/>
      <c r="Q376" s="302"/>
      <c r="R376" s="302"/>
      <c r="S376" s="302"/>
      <c r="T376" s="302"/>
    </row>
    <row r="377" spans="1:20" ht="10.5" customHeight="1">
      <c r="A377" s="302"/>
      <c r="B377" s="302"/>
      <c r="C377" s="302"/>
      <c r="D377" s="302"/>
      <c r="E377" s="302"/>
      <c r="F377" s="302"/>
      <c r="G377" s="302"/>
      <c r="H377" s="45"/>
      <c r="I377" s="302"/>
      <c r="J377" s="303"/>
      <c r="K377" s="302"/>
      <c r="L377" s="45"/>
      <c r="M377" s="302"/>
      <c r="N377" s="45"/>
      <c r="O377" s="302"/>
      <c r="P377" s="302"/>
      <c r="Q377" s="302"/>
      <c r="R377" s="302"/>
      <c r="S377" s="302"/>
      <c r="T377" s="302"/>
    </row>
    <row r="378" spans="1:20" ht="10.5" customHeight="1">
      <c r="A378" s="302"/>
      <c r="B378" s="302"/>
      <c r="C378" s="302"/>
      <c r="D378" s="302"/>
      <c r="E378" s="302"/>
      <c r="F378" s="302"/>
      <c r="G378" s="302"/>
      <c r="H378" s="45"/>
      <c r="I378" s="302"/>
      <c r="J378" s="303"/>
      <c r="K378" s="302"/>
      <c r="L378" s="45"/>
      <c r="M378" s="302"/>
      <c r="N378" s="45"/>
      <c r="O378" s="302"/>
      <c r="P378" s="302"/>
      <c r="Q378" s="302"/>
      <c r="R378" s="302"/>
      <c r="S378" s="302"/>
      <c r="T378" s="302"/>
    </row>
    <row r="379" spans="1:20" ht="10.5" customHeight="1">
      <c r="A379" s="302"/>
      <c r="B379" s="302"/>
      <c r="C379" s="302"/>
      <c r="D379" s="302"/>
      <c r="E379" s="302"/>
      <c r="F379" s="302"/>
      <c r="G379" s="302"/>
      <c r="H379" s="45"/>
      <c r="I379" s="302"/>
      <c r="J379" s="303"/>
      <c r="K379" s="302"/>
      <c r="L379" s="45"/>
      <c r="M379" s="302"/>
      <c r="N379" s="45"/>
      <c r="O379" s="302"/>
      <c r="P379" s="302"/>
      <c r="Q379" s="302"/>
      <c r="R379" s="302"/>
      <c r="S379" s="302"/>
      <c r="T379" s="302"/>
    </row>
    <row r="380" spans="1:20" ht="10.5" customHeight="1">
      <c r="A380" s="302"/>
      <c r="B380" s="302"/>
      <c r="C380" s="302"/>
      <c r="D380" s="302"/>
      <c r="E380" s="302"/>
      <c r="F380" s="302"/>
      <c r="G380" s="302"/>
      <c r="H380" s="45"/>
      <c r="I380" s="302"/>
      <c r="J380" s="303"/>
      <c r="K380" s="302"/>
      <c r="L380" s="45"/>
      <c r="M380" s="302"/>
      <c r="N380" s="45"/>
      <c r="O380" s="302"/>
      <c r="P380" s="302"/>
      <c r="Q380" s="302"/>
      <c r="R380" s="302"/>
      <c r="S380" s="302"/>
      <c r="T380" s="302"/>
    </row>
    <row r="381" spans="1:20" ht="10.5" customHeight="1">
      <c r="A381" s="302"/>
      <c r="B381" s="302"/>
      <c r="C381" s="302"/>
      <c r="D381" s="302"/>
      <c r="E381" s="302"/>
      <c r="F381" s="302"/>
      <c r="G381" s="302"/>
      <c r="H381" s="45"/>
      <c r="I381" s="302"/>
      <c r="J381" s="303"/>
      <c r="K381" s="302"/>
      <c r="L381" s="45"/>
      <c r="M381" s="302"/>
      <c r="N381" s="45"/>
      <c r="O381" s="302"/>
      <c r="P381" s="302"/>
      <c r="Q381" s="302"/>
      <c r="R381" s="302"/>
      <c r="S381" s="302"/>
      <c r="T381" s="302"/>
    </row>
    <row r="382" spans="1:20" ht="10.5" customHeight="1">
      <c r="A382" s="302"/>
      <c r="B382" s="302"/>
      <c r="C382" s="302"/>
      <c r="D382" s="302"/>
      <c r="E382" s="302"/>
      <c r="F382" s="302"/>
      <c r="G382" s="302"/>
      <c r="H382" s="45"/>
      <c r="I382" s="302"/>
      <c r="J382" s="303"/>
      <c r="K382" s="302"/>
      <c r="L382" s="45"/>
      <c r="M382" s="302"/>
      <c r="N382" s="45"/>
      <c r="O382" s="302"/>
      <c r="P382" s="302"/>
      <c r="Q382" s="302"/>
      <c r="R382" s="302"/>
      <c r="S382" s="302"/>
      <c r="T382" s="302"/>
    </row>
    <row r="383" spans="1:20" ht="10.5" customHeight="1">
      <c r="A383" s="302"/>
      <c r="B383" s="302"/>
      <c r="C383" s="302"/>
      <c r="D383" s="302"/>
      <c r="E383" s="302"/>
      <c r="F383" s="302"/>
      <c r="G383" s="302"/>
      <c r="H383" s="45"/>
      <c r="I383" s="302"/>
      <c r="J383" s="303"/>
      <c r="K383" s="302"/>
      <c r="L383" s="45"/>
      <c r="M383" s="302"/>
      <c r="N383" s="45"/>
      <c r="O383" s="302"/>
      <c r="P383" s="302"/>
      <c r="Q383" s="302"/>
      <c r="R383" s="302"/>
      <c r="S383" s="302"/>
      <c r="T383" s="302"/>
    </row>
    <row r="384" spans="1:20" ht="10.5" customHeight="1">
      <c r="A384" s="302"/>
      <c r="B384" s="302"/>
      <c r="C384" s="302"/>
      <c r="D384" s="302"/>
      <c r="E384" s="302"/>
      <c r="F384" s="302"/>
      <c r="G384" s="302"/>
      <c r="H384" s="45"/>
      <c r="I384" s="302"/>
      <c r="J384" s="303"/>
      <c r="K384" s="302"/>
      <c r="L384" s="45"/>
      <c r="M384" s="302"/>
      <c r="N384" s="45"/>
      <c r="O384" s="302"/>
      <c r="P384" s="302"/>
      <c r="Q384" s="302"/>
      <c r="R384" s="302"/>
      <c r="S384" s="302"/>
      <c r="T384" s="302"/>
    </row>
    <row r="385" spans="1:20" ht="10.5" customHeight="1">
      <c r="A385" s="302"/>
      <c r="B385" s="302"/>
      <c r="C385" s="302"/>
      <c r="D385" s="302"/>
      <c r="E385" s="302"/>
      <c r="F385" s="302"/>
      <c r="G385" s="302"/>
      <c r="H385" s="45"/>
      <c r="I385" s="302"/>
      <c r="J385" s="303"/>
      <c r="K385" s="302"/>
      <c r="L385" s="45"/>
      <c r="M385" s="302"/>
      <c r="N385" s="45"/>
      <c r="O385" s="302"/>
      <c r="P385" s="302"/>
      <c r="Q385" s="302"/>
      <c r="R385" s="302"/>
      <c r="S385" s="302"/>
      <c r="T385" s="302"/>
    </row>
    <row r="386" spans="1:20" ht="10.5" customHeight="1">
      <c r="A386" s="302"/>
      <c r="B386" s="302"/>
      <c r="C386" s="302"/>
      <c r="D386" s="302"/>
      <c r="E386" s="302"/>
      <c r="F386" s="302"/>
      <c r="G386" s="302"/>
      <c r="H386" s="45"/>
      <c r="I386" s="302"/>
      <c r="J386" s="303"/>
      <c r="K386" s="302"/>
      <c r="L386" s="45"/>
      <c r="M386" s="302"/>
      <c r="N386" s="45"/>
      <c r="O386" s="302"/>
      <c r="P386" s="302"/>
      <c r="Q386" s="302"/>
      <c r="R386" s="302"/>
      <c r="S386" s="302"/>
      <c r="T386" s="302"/>
    </row>
    <row r="387" spans="1:20" ht="10.5" customHeight="1">
      <c r="A387" s="302"/>
      <c r="B387" s="302"/>
      <c r="C387" s="302"/>
      <c r="D387" s="302"/>
      <c r="E387" s="302"/>
      <c r="F387" s="302"/>
      <c r="G387" s="302"/>
      <c r="H387" s="45"/>
      <c r="I387" s="302"/>
      <c r="J387" s="303"/>
      <c r="K387" s="302"/>
      <c r="L387" s="45"/>
      <c r="M387" s="302"/>
      <c r="N387" s="45"/>
      <c r="O387" s="302"/>
      <c r="P387" s="302"/>
      <c r="Q387" s="302"/>
      <c r="R387" s="302"/>
      <c r="S387" s="302"/>
      <c r="T387" s="302"/>
    </row>
    <row r="388" spans="1:20" ht="10.5" customHeight="1">
      <c r="A388" s="302"/>
      <c r="B388" s="302"/>
      <c r="C388" s="302"/>
      <c r="D388" s="302"/>
      <c r="E388" s="302"/>
      <c r="F388" s="302"/>
      <c r="G388" s="302"/>
      <c r="H388" s="45"/>
      <c r="I388" s="302"/>
      <c r="J388" s="303"/>
      <c r="K388" s="302"/>
      <c r="L388" s="45"/>
      <c r="M388" s="302"/>
      <c r="N388" s="45"/>
      <c r="O388" s="302"/>
      <c r="P388" s="302"/>
      <c r="Q388" s="302"/>
      <c r="R388" s="302"/>
      <c r="S388" s="302"/>
      <c r="T388" s="302"/>
    </row>
    <row r="389" spans="1:20" ht="10.5" customHeight="1">
      <c r="A389" s="302"/>
      <c r="B389" s="302"/>
      <c r="C389" s="302"/>
      <c r="D389" s="302"/>
      <c r="E389" s="302"/>
      <c r="F389" s="302"/>
      <c r="G389" s="302"/>
      <c r="H389" s="45"/>
      <c r="I389" s="302"/>
      <c r="J389" s="303"/>
      <c r="K389" s="302"/>
      <c r="L389" s="45"/>
      <c r="M389" s="302"/>
      <c r="N389" s="45"/>
      <c r="O389" s="302"/>
      <c r="P389" s="302"/>
      <c r="Q389" s="302"/>
      <c r="R389" s="302"/>
      <c r="S389" s="302"/>
      <c r="T389" s="302"/>
    </row>
    <row r="390" spans="1:20" ht="10.5" customHeight="1">
      <c r="A390" s="302"/>
      <c r="B390" s="302"/>
      <c r="C390" s="302"/>
      <c r="D390" s="302"/>
      <c r="E390" s="302"/>
      <c r="F390" s="302"/>
      <c r="G390" s="302"/>
      <c r="H390" s="45"/>
      <c r="I390" s="302"/>
      <c r="J390" s="303"/>
      <c r="K390" s="302"/>
      <c r="L390" s="45"/>
      <c r="M390" s="302"/>
      <c r="N390" s="45"/>
      <c r="O390" s="302"/>
      <c r="P390" s="302"/>
      <c r="Q390" s="302"/>
      <c r="R390" s="302"/>
      <c r="S390" s="302"/>
      <c r="T390" s="302"/>
    </row>
    <row r="391" spans="1:20" ht="10.5" customHeight="1">
      <c r="A391" s="302"/>
      <c r="B391" s="302"/>
      <c r="C391" s="302"/>
      <c r="D391" s="302"/>
      <c r="E391" s="302"/>
      <c r="F391" s="302"/>
      <c r="G391" s="302"/>
      <c r="H391" s="45"/>
      <c r="I391" s="302"/>
      <c r="J391" s="303"/>
      <c r="K391" s="302"/>
      <c r="L391" s="302"/>
      <c r="M391" s="302"/>
      <c r="N391" s="302"/>
      <c r="O391" s="302"/>
      <c r="P391" s="302"/>
      <c r="Q391" s="302"/>
      <c r="R391" s="302"/>
      <c r="S391" s="302"/>
      <c r="T391" s="302"/>
    </row>
    <row r="392" spans="1:20" ht="10.5" customHeight="1">
      <c r="A392" s="302"/>
      <c r="B392" s="302"/>
      <c r="C392" s="302"/>
      <c r="D392" s="302"/>
      <c r="E392" s="302"/>
      <c r="F392" s="302"/>
      <c r="G392" s="302"/>
      <c r="H392" s="45"/>
      <c r="I392" s="302"/>
      <c r="J392" s="303"/>
      <c r="K392" s="302"/>
      <c r="L392" s="302"/>
      <c r="M392" s="302"/>
      <c r="N392" s="302"/>
      <c r="O392" s="302"/>
      <c r="P392" s="302"/>
      <c r="Q392" s="302"/>
      <c r="R392" s="302"/>
      <c r="S392" s="302"/>
      <c r="T392" s="302"/>
    </row>
    <row r="393" spans="1:20" ht="10.5" customHeight="1">
      <c r="A393" s="302"/>
      <c r="B393" s="302"/>
      <c r="C393" s="302"/>
      <c r="D393" s="302"/>
      <c r="E393" s="302"/>
      <c r="F393" s="302"/>
      <c r="G393" s="302"/>
      <c r="H393" s="45"/>
      <c r="I393" s="302"/>
      <c r="J393" s="303"/>
      <c r="K393" s="302"/>
      <c r="L393" s="302"/>
      <c r="M393" s="302"/>
      <c r="N393" s="302"/>
      <c r="O393" s="302"/>
      <c r="P393" s="302"/>
      <c r="Q393" s="302"/>
      <c r="R393" s="302"/>
      <c r="S393" s="302"/>
      <c r="T393" s="302"/>
    </row>
    <row r="394" spans="1:20" ht="10.5" customHeight="1">
      <c r="A394" s="302"/>
      <c r="B394" s="302"/>
      <c r="C394" s="302"/>
      <c r="D394" s="302"/>
      <c r="E394" s="302"/>
      <c r="F394" s="302"/>
      <c r="G394" s="302"/>
      <c r="H394" s="45"/>
      <c r="I394" s="302"/>
      <c r="J394" s="303"/>
      <c r="K394" s="302"/>
      <c r="L394" s="302"/>
      <c r="M394" s="302"/>
      <c r="N394" s="302"/>
      <c r="O394" s="302"/>
      <c r="P394" s="302"/>
      <c r="Q394" s="302"/>
      <c r="R394" s="302"/>
      <c r="S394" s="302"/>
      <c r="T394" s="302"/>
    </row>
    <row r="395" spans="1:20" ht="10.5" customHeight="1">
      <c r="A395" s="302"/>
      <c r="B395" s="302"/>
      <c r="C395" s="302"/>
      <c r="D395" s="302"/>
      <c r="E395" s="302"/>
      <c r="F395" s="302"/>
      <c r="G395" s="302"/>
      <c r="H395" s="45"/>
      <c r="I395" s="302"/>
      <c r="J395" s="45"/>
      <c r="K395" s="302"/>
      <c r="L395" s="302"/>
      <c r="M395" s="302"/>
      <c r="N395" s="302"/>
      <c r="O395" s="302"/>
      <c r="P395" s="302"/>
      <c r="Q395" s="302"/>
      <c r="R395" s="302"/>
      <c r="S395" s="302"/>
      <c r="T395" s="302"/>
    </row>
    <row r="396" spans="1:20" ht="10.5" customHeight="1">
      <c r="A396" s="302"/>
      <c r="B396" s="302"/>
      <c r="C396" s="302"/>
      <c r="D396" s="302"/>
      <c r="E396" s="302"/>
      <c r="F396" s="302"/>
      <c r="G396" s="302"/>
      <c r="H396" s="45"/>
      <c r="I396" s="302"/>
      <c r="J396" s="45"/>
      <c r="K396" s="302"/>
      <c r="L396" s="302"/>
      <c r="M396" s="302"/>
      <c r="N396" s="302"/>
      <c r="O396" s="302"/>
      <c r="P396" s="302"/>
      <c r="Q396" s="302"/>
      <c r="R396" s="302"/>
      <c r="S396" s="302"/>
      <c r="T396" s="302"/>
    </row>
    <row r="397" spans="1:20" ht="10.5" customHeight="1">
      <c r="A397" s="302"/>
      <c r="B397" s="302"/>
      <c r="C397" s="302"/>
      <c r="D397" s="302"/>
      <c r="E397" s="302"/>
      <c r="F397" s="302"/>
      <c r="G397" s="302"/>
      <c r="H397" s="45"/>
      <c r="I397" s="302"/>
      <c r="J397" s="45"/>
      <c r="K397" s="302"/>
      <c r="L397" s="302"/>
      <c r="M397" s="302"/>
      <c r="N397" s="302"/>
      <c r="O397" s="302"/>
      <c r="P397" s="302"/>
      <c r="Q397" s="302"/>
      <c r="R397" s="302"/>
      <c r="S397" s="302"/>
      <c r="T397" s="302"/>
    </row>
    <row r="398" spans="1:20" ht="10.5" customHeight="1">
      <c r="A398" s="302"/>
      <c r="B398" s="302"/>
      <c r="C398" s="302"/>
      <c r="D398" s="302"/>
      <c r="E398" s="302"/>
      <c r="F398" s="302"/>
      <c r="G398" s="302"/>
      <c r="H398" s="45"/>
      <c r="I398" s="302"/>
      <c r="J398" s="45"/>
      <c r="K398" s="302"/>
      <c r="L398" s="302"/>
      <c r="M398" s="302"/>
      <c r="N398" s="302"/>
      <c r="O398" s="302"/>
      <c r="P398" s="302"/>
      <c r="Q398" s="302"/>
      <c r="R398" s="302"/>
      <c r="S398" s="302"/>
      <c r="T398" s="302"/>
    </row>
    <row r="399" spans="1:20" ht="10.5" customHeight="1">
      <c r="A399" s="302"/>
      <c r="B399" s="302"/>
      <c r="C399" s="302"/>
      <c r="D399" s="302"/>
      <c r="E399" s="302"/>
      <c r="F399" s="302"/>
      <c r="G399" s="302"/>
      <c r="H399" s="45"/>
      <c r="I399" s="302"/>
      <c r="J399" s="45"/>
      <c r="K399" s="302"/>
      <c r="L399" s="302"/>
      <c r="M399" s="302"/>
      <c r="N399" s="302"/>
      <c r="O399" s="302"/>
      <c r="P399" s="302"/>
      <c r="Q399" s="302"/>
      <c r="R399" s="302"/>
      <c r="S399" s="302"/>
      <c r="T399" s="302"/>
    </row>
    <row r="400" spans="1:20" ht="10.5" customHeight="1">
      <c r="A400" s="302"/>
      <c r="B400" s="302"/>
      <c r="C400" s="302"/>
      <c r="D400" s="302"/>
      <c r="E400" s="302"/>
      <c r="F400" s="302"/>
      <c r="G400" s="302"/>
      <c r="H400" s="45"/>
      <c r="I400" s="302"/>
      <c r="J400" s="45"/>
      <c r="K400" s="302"/>
      <c r="L400" s="302"/>
      <c r="M400" s="302"/>
      <c r="N400" s="302"/>
      <c r="O400" s="302"/>
      <c r="P400" s="302"/>
      <c r="Q400" s="302"/>
      <c r="R400" s="302"/>
      <c r="S400" s="302"/>
      <c r="T400" s="302"/>
    </row>
    <row r="401" spans="1:20" ht="10.5" customHeight="1">
      <c r="A401" s="302"/>
      <c r="B401" s="302"/>
      <c r="C401" s="302"/>
      <c r="D401" s="302"/>
      <c r="E401" s="302"/>
      <c r="F401" s="302"/>
      <c r="G401" s="302"/>
      <c r="H401" s="45"/>
      <c r="I401" s="302"/>
      <c r="J401" s="45"/>
      <c r="K401" s="302"/>
      <c r="L401" s="302"/>
      <c r="M401" s="302"/>
      <c r="N401" s="302"/>
      <c r="O401" s="302"/>
      <c r="P401" s="302"/>
      <c r="Q401" s="302"/>
      <c r="R401" s="302"/>
      <c r="S401" s="302"/>
      <c r="T401" s="302"/>
    </row>
    <row r="402" spans="1:20" ht="10.5" customHeight="1">
      <c r="A402" s="302"/>
      <c r="B402" s="302"/>
      <c r="C402" s="302"/>
      <c r="D402" s="302"/>
      <c r="E402" s="302"/>
      <c r="F402" s="302"/>
      <c r="G402" s="302"/>
      <c r="H402" s="45"/>
      <c r="I402" s="302"/>
      <c r="J402" s="45"/>
      <c r="K402" s="302"/>
      <c r="L402" s="302"/>
      <c r="M402" s="302"/>
      <c r="N402" s="302"/>
      <c r="O402" s="302"/>
      <c r="P402" s="302"/>
      <c r="Q402" s="302"/>
      <c r="R402" s="302"/>
      <c r="S402" s="302"/>
      <c r="T402" s="302"/>
    </row>
    <row r="403" spans="1:20" ht="10.5" customHeight="1">
      <c r="A403" s="302"/>
      <c r="B403" s="302"/>
      <c r="C403" s="302"/>
      <c r="D403" s="302"/>
      <c r="E403" s="302"/>
      <c r="F403" s="302"/>
      <c r="G403" s="302"/>
      <c r="H403" s="45"/>
      <c r="I403" s="302"/>
      <c r="J403" s="45"/>
      <c r="K403" s="302"/>
      <c r="L403" s="302"/>
      <c r="M403" s="302"/>
      <c r="N403" s="302"/>
      <c r="O403" s="302"/>
      <c r="P403" s="302"/>
      <c r="Q403" s="302"/>
      <c r="R403" s="302"/>
      <c r="S403" s="302"/>
      <c r="T403" s="302"/>
    </row>
    <row r="404" spans="1:20" ht="10.5" customHeight="1">
      <c r="A404" s="302"/>
      <c r="B404" s="302"/>
      <c r="C404" s="302"/>
      <c r="D404" s="302"/>
      <c r="E404" s="302"/>
      <c r="F404" s="302"/>
      <c r="G404" s="302"/>
      <c r="H404" s="45"/>
      <c r="I404" s="302"/>
      <c r="J404" s="45"/>
      <c r="K404" s="302"/>
      <c r="L404" s="302"/>
      <c r="M404" s="302"/>
      <c r="N404" s="302"/>
      <c r="O404" s="302"/>
      <c r="P404" s="302"/>
      <c r="Q404" s="302"/>
      <c r="R404" s="302"/>
      <c r="S404" s="302"/>
      <c r="T404" s="302"/>
    </row>
    <row r="405" spans="1:20" ht="10.5" customHeight="1">
      <c r="A405" s="302"/>
      <c r="B405" s="302"/>
      <c r="C405" s="302"/>
      <c r="D405" s="302"/>
      <c r="E405" s="302"/>
      <c r="F405" s="302"/>
      <c r="G405" s="302"/>
      <c r="H405" s="45"/>
      <c r="I405" s="302"/>
      <c r="J405" s="45"/>
      <c r="K405" s="302"/>
      <c r="L405" s="302"/>
      <c r="M405" s="302"/>
      <c r="N405" s="302"/>
      <c r="O405" s="302"/>
      <c r="P405" s="302"/>
      <c r="Q405" s="302"/>
      <c r="R405" s="302"/>
      <c r="S405" s="302"/>
      <c r="T405" s="302"/>
    </row>
    <row r="406" spans="1:20" ht="10.5" customHeight="1">
      <c r="A406" s="302"/>
      <c r="B406" s="302"/>
      <c r="C406" s="302"/>
      <c r="D406" s="302"/>
      <c r="E406" s="302"/>
      <c r="F406" s="302"/>
      <c r="G406" s="302"/>
      <c r="H406" s="45"/>
      <c r="I406" s="302"/>
      <c r="J406" s="45"/>
      <c r="K406" s="302"/>
      <c r="L406" s="302"/>
      <c r="M406" s="302"/>
      <c r="N406" s="302"/>
      <c r="O406" s="302"/>
      <c r="P406" s="302"/>
      <c r="Q406" s="302"/>
      <c r="R406" s="302"/>
      <c r="S406" s="302"/>
      <c r="T406" s="302"/>
    </row>
    <row r="407" spans="1:20" ht="10.5" customHeight="1">
      <c r="A407" s="302"/>
      <c r="B407" s="302"/>
      <c r="C407" s="302"/>
      <c r="D407" s="302"/>
      <c r="E407" s="302"/>
      <c r="F407" s="302"/>
      <c r="G407" s="302"/>
      <c r="H407" s="45"/>
      <c r="I407" s="302"/>
      <c r="J407" s="45"/>
      <c r="K407" s="302"/>
      <c r="L407" s="302"/>
      <c r="M407" s="302"/>
      <c r="N407" s="302"/>
      <c r="O407" s="302"/>
      <c r="P407" s="302"/>
      <c r="Q407" s="302"/>
      <c r="R407" s="302"/>
      <c r="S407" s="302"/>
      <c r="T407" s="302"/>
    </row>
    <row r="408" spans="1:20" ht="10.5" customHeight="1">
      <c r="A408" s="302"/>
      <c r="B408" s="302"/>
      <c r="C408" s="302"/>
      <c r="D408" s="302"/>
      <c r="E408" s="302"/>
      <c r="F408" s="302"/>
      <c r="G408" s="302"/>
      <c r="H408" s="45"/>
      <c r="I408" s="302"/>
      <c r="J408" s="45"/>
      <c r="K408" s="302"/>
      <c r="L408" s="302"/>
      <c r="M408" s="302"/>
      <c r="N408" s="302"/>
      <c r="O408" s="302"/>
      <c r="P408" s="302"/>
      <c r="Q408" s="302"/>
      <c r="R408" s="302"/>
      <c r="S408" s="302"/>
      <c r="T408" s="302"/>
    </row>
    <row r="409" spans="1:20" ht="10.5" customHeight="1">
      <c r="A409" s="302"/>
      <c r="B409" s="302"/>
      <c r="C409" s="302"/>
      <c r="D409" s="302"/>
      <c r="E409" s="302"/>
      <c r="F409" s="302"/>
      <c r="G409" s="302"/>
      <c r="H409" s="45"/>
      <c r="I409" s="302"/>
      <c r="J409" s="45"/>
      <c r="K409" s="302"/>
      <c r="L409" s="302"/>
      <c r="M409" s="302"/>
      <c r="N409" s="302"/>
      <c r="O409" s="302"/>
      <c r="P409" s="302"/>
      <c r="Q409" s="302"/>
      <c r="R409" s="302"/>
      <c r="S409" s="302"/>
      <c r="T409" s="302"/>
    </row>
    <row r="410" spans="1:20" ht="10.5" customHeight="1">
      <c r="A410" s="302"/>
      <c r="B410" s="302"/>
      <c r="C410" s="302"/>
      <c r="D410" s="302"/>
      <c r="E410" s="302"/>
      <c r="F410" s="302"/>
      <c r="G410" s="302"/>
      <c r="H410" s="45"/>
      <c r="I410" s="302"/>
      <c r="J410" s="45"/>
      <c r="K410" s="302"/>
      <c r="L410" s="302"/>
      <c r="M410" s="302"/>
      <c r="N410" s="302"/>
      <c r="O410" s="302"/>
      <c r="P410" s="302"/>
      <c r="Q410" s="302"/>
      <c r="R410" s="302"/>
      <c r="S410" s="302"/>
      <c r="T410" s="302"/>
    </row>
    <row r="411" spans="1:20" ht="10.5" customHeight="1">
      <c r="A411" s="302"/>
      <c r="B411" s="302"/>
      <c r="C411" s="302"/>
      <c r="D411" s="302"/>
      <c r="E411" s="302"/>
      <c r="F411" s="302"/>
      <c r="G411" s="302"/>
      <c r="H411" s="45"/>
      <c r="I411" s="302"/>
      <c r="J411" s="45"/>
      <c r="K411" s="302"/>
      <c r="L411" s="302"/>
      <c r="M411" s="302"/>
      <c r="N411" s="302"/>
      <c r="O411" s="302"/>
      <c r="P411" s="302"/>
      <c r="Q411" s="302"/>
      <c r="R411" s="302"/>
      <c r="S411" s="302"/>
      <c r="T411" s="302"/>
    </row>
    <row r="412" spans="1:20" ht="10.5" customHeight="1">
      <c r="A412" s="302"/>
      <c r="B412" s="302"/>
      <c r="C412" s="302"/>
      <c r="D412" s="302"/>
      <c r="E412" s="302"/>
      <c r="F412" s="302"/>
      <c r="G412" s="302"/>
      <c r="H412" s="45"/>
      <c r="I412" s="302"/>
      <c r="J412" s="45"/>
      <c r="K412" s="302"/>
      <c r="L412" s="302"/>
      <c r="M412" s="302"/>
      <c r="N412" s="302"/>
      <c r="O412" s="302"/>
      <c r="P412" s="302"/>
      <c r="Q412" s="302"/>
      <c r="R412" s="302"/>
      <c r="S412" s="302"/>
      <c r="T412" s="302"/>
    </row>
    <row r="413" spans="1:20" ht="10.5" customHeight="1">
      <c r="A413" s="302"/>
      <c r="B413" s="302"/>
      <c r="C413" s="302"/>
      <c r="D413" s="302"/>
      <c r="E413" s="302"/>
      <c r="F413" s="302"/>
      <c r="G413" s="302"/>
      <c r="H413" s="45"/>
      <c r="I413" s="302"/>
      <c r="J413" s="45"/>
      <c r="K413" s="302"/>
      <c r="L413" s="302"/>
      <c r="M413" s="302"/>
      <c r="N413" s="302"/>
      <c r="O413" s="302"/>
      <c r="P413" s="302"/>
      <c r="Q413" s="302"/>
      <c r="R413" s="302"/>
      <c r="S413" s="302"/>
      <c r="T413" s="302"/>
    </row>
    <row r="414" spans="1:20" ht="10.5" customHeight="1">
      <c r="A414" s="302"/>
      <c r="B414" s="302"/>
      <c r="C414" s="302"/>
      <c r="D414" s="302"/>
      <c r="E414" s="302"/>
      <c r="F414" s="302"/>
      <c r="G414" s="302"/>
      <c r="H414" s="45"/>
      <c r="I414" s="302"/>
      <c r="J414" s="45"/>
      <c r="K414" s="302"/>
      <c r="L414" s="302"/>
      <c r="M414" s="302"/>
      <c r="N414" s="302"/>
      <c r="O414" s="302"/>
      <c r="P414" s="302"/>
      <c r="Q414" s="302"/>
      <c r="R414" s="302"/>
      <c r="S414" s="302"/>
      <c r="T414" s="302"/>
    </row>
    <row r="415" spans="1:20" ht="10.5" customHeight="1">
      <c r="A415" s="302"/>
      <c r="B415" s="302"/>
      <c r="C415" s="302"/>
      <c r="D415" s="302"/>
      <c r="E415" s="302"/>
      <c r="F415" s="302"/>
      <c r="G415" s="302"/>
      <c r="H415" s="45"/>
      <c r="I415" s="302"/>
      <c r="J415" s="45"/>
      <c r="K415" s="302"/>
      <c r="L415" s="302"/>
      <c r="M415" s="302"/>
      <c r="N415" s="302"/>
      <c r="O415" s="302"/>
      <c r="P415" s="302"/>
      <c r="Q415" s="302"/>
      <c r="R415" s="302"/>
      <c r="S415" s="302"/>
      <c r="T415" s="302"/>
    </row>
    <row r="416" spans="1:20" ht="10.5" customHeight="1">
      <c r="A416" s="302"/>
      <c r="B416" s="302"/>
      <c r="C416" s="302"/>
      <c r="D416" s="302"/>
      <c r="E416" s="302"/>
      <c r="F416" s="302"/>
      <c r="G416" s="302"/>
      <c r="H416" s="45"/>
      <c r="I416" s="302"/>
      <c r="J416" s="45"/>
      <c r="K416" s="302"/>
      <c r="L416" s="302"/>
      <c r="M416" s="302"/>
      <c r="N416" s="302"/>
      <c r="O416" s="302"/>
      <c r="P416" s="302"/>
      <c r="Q416" s="302"/>
      <c r="R416" s="302"/>
      <c r="S416" s="302"/>
      <c r="T416" s="302"/>
    </row>
    <row r="417" spans="1:20" ht="10.5" customHeight="1">
      <c r="A417" s="302"/>
      <c r="B417" s="302"/>
      <c r="C417" s="302"/>
      <c r="D417" s="302"/>
      <c r="E417" s="302"/>
      <c r="F417" s="302"/>
      <c r="G417" s="302"/>
      <c r="H417" s="45"/>
      <c r="I417" s="302"/>
      <c r="J417" s="45"/>
      <c r="K417" s="302"/>
      <c r="L417" s="302"/>
      <c r="M417" s="302"/>
      <c r="N417" s="302"/>
      <c r="O417" s="302"/>
      <c r="P417" s="302"/>
      <c r="Q417" s="302"/>
      <c r="R417" s="302"/>
      <c r="S417" s="302"/>
      <c r="T417" s="302"/>
    </row>
    <row r="418" spans="1:20" ht="10.5" customHeight="1">
      <c r="A418" s="302"/>
      <c r="B418" s="302"/>
      <c r="C418" s="302"/>
      <c r="D418" s="302"/>
      <c r="E418" s="302"/>
      <c r="F418" s="302"/>
      <c r="G418" s="302"/>
      <c r="H418" s="45"/>
      <c r="I418" s="302"/>
      <c r="J418" s="45"/>
      <c r="K418" s="302"/>
      <c r="L418" s="302"/>
      <c r="M418" s="302"/>
      <c r="N418" s="302"/>
      <c r="O418" s="302"/>
      <c r="P418" s="302"/>
      <c r="Q418" s="302"/>
      <c r="R418" s="302"/>
      <c r="S418" s="302"/>
      <c r="T418" s="302"/>
    </row>
    <row r="419" spans="1:20" ht="10.5" customHeight="1">
      <c r="A419" s="302"/>
      <c r="B419" s="302"/>
      <c r="C419" s="302"/>
      <c r="D419" s="302"/>
      <c r="E419" s="302"/>
      <c r="F419" s="302"/>
      <c r="G419" s="302"/>
      <c r="H419" s="45"/>
      <c r="I419" s="302"/>
      <c r="J419" s="45"/>
      <c r="K419" s="302"/>
      <c r="L419" s="302"/>
      <c r="M419" s="302"/>
      <c r="N419" s="302"/>
      <c r="O419" s="302"/>
      <c r="P419" s="302"/>
      <c r="Q419" s="302"/>
      <c r="R419" s="302"/>
      <c r="S419" s="302"/>
      <c r="T419" s="302"/>
    </row>
    <row r="420" spans="1:20" ht="10.5" customHeight="1">
      <c r="A420" s="302"/>
      <c r="B420" s="302"/>
      <c r="C420" s="302"/>
      <c r="D420" s="302"/>
      <c r="E420" s="302"/>
      <c r="F420" s="302"/>
      <c r="G420" s="302"/>
      <c r="H420" s="45"/>
      <c r="I420" s="302"/>
      <c r="J420" s="302"/>
      <c r="K420" s="302"/>
      <c r="L420" s="302"/>
      <c r="M420" s="302"/>
      <c r="N420" s="302"/>
      <c r="O420" s="302"/>
      <c r="P420" s="302"/>
      <c r="Q420" s="302"/>
      <c r="R420" s="302"/>
      <c r="S420" s="302"/>
      <c r="T420" s="302"/>
    </row>
    <row r="421" spans="1:20" ht="10.5" customHeight="1">
      <c r="A421" s="302"/>
      <c r="B421" s="302"/>
      <c r="C421" s="302"/>
      <c r="D421" s="302"/>
      <c r="E421" s="302"/>
      <c r="F421" s="302"/>
      <c r="G421" s="302"/>
      <c r="H421" s="45"/>
      <c r="I421" s="302"/>
      <c r="J421" s="302"/>
      <c r="K421" s="302"/>
      <c r="L421" s="302"/>
      <c r="M421" s="302"/>
      <c r="N421" s="302"/>
      <c r="O421" s="302"/>
      <c r="P421" s="302"/>
      <c r="Q421" s="302"/>
      <c r="R421" s="302"/>
      <c r="S421" s="302"/>
      <c r="T421" s="302"/>
    </row>
    <row r="422" spans="1:20" ht="10.5" customHeight="1">
      <c r="A422" s="302"/>
      <c r="B422" s="302"/>
      <c r="C422" s="302"/>
      <c r="D422" s="302"/>
      <c r="E422" s="302"/>
      <c r="F422" s="302"/>
      <c r="G422" s="302"/>
      <c r="H422" s="45"/>
      <c r="I422" s="302"/>
      <c r="J422" s="302"/>
      <c r="K422" s="302"/>
      <c r="L422" s="302"/>
      <c r="M422" s="302"/>
      <c r="N422" s="302"/>
      <c r="O422" s="302"/>
      <c r="P422" s="302"/>
      <c r="Q422" s="302"/>
      <c r="R422" s="302"/>
      <c r="S422" s="302"/>
      <c r="T422" s="302"/>
    </row>
    <row r="423" spans="1:20" ht="10.5" customHeight="1">
      <c r="A423" s="302"/>
      <c r="B423" s="302"/>
      <c r="C423" s="302"/>
      <c r="D423" s="302"/>
      <c r="E423" s="302"/>
      <c r="F423" s="302"/>
      <c r="G423" s="302"/>
      <c r="H423" s="45"/>
      <c r="I423" s="302"/>
      <c r="J423" s="302"/>
      <c r="K423" s="302"/>
      <c r="L423" s="302"/>
      <c r="M423" s="302"/>
      <c r="N423" s="302"/>
      <c r="O423" s="302"/>
      <c r="P423" s="302"/>
      <c r="Q423" s="302"/>
      <c r="R423" s="302"/>
      <c r="S423" s="302"/>
      <c r="T423" s="302"/>
    </row>
    <row r="424" spans="1:20" ht="10.5" customHeight="1">
      <c r="A424" s="302"/>
      <c r="B424" s="302"/>
      <c r="C424" s="302"/>
      <c r="D424" s="302"/>
      <c r="E424" s="302"/>
      <c r="F424" s="302"/>
      <c r="G424" s="302"/>
      <c r="H424" s="45"/>
      <c r="I424" s="302"/>
      <c r="J424" s="302"/>
      <c r="K424" s="302"/>
      <c r="L424" s="302"/>
      <c r="M424" s="302"/>
      <c r="N424" s="302"/>
      <c r="O424" s="302"/>
      <c r="P424" s="302"/>
      <c r="Q424" s="302"/>
      <c r="R424" s="302"/>
      <c r="S424" s="302"/>
      <c r="T424" s="302"/>
    </row>
    <row r="425" spans="1:20" ht="10.5" customHeight="1">
      <c r="A425" s="302"/>
      <c r="B425" s="302"/>
      <c r="C425" s="302"/>
      <c r="D425" s="302"/>
      <c r="E425" s="302"/>
      <c r="F425" s="302"/>
      <c r="G425" s="302"/>
      <c r="H425" s="45"/>
      <c r="I425" s="302"/>
      <c r="J425" s="302"/>
      <c r="K425" s="302"/>
      <c r="L425" s="302"/>
      <c r="M425" s="302"/>
      <c r="N425" s="302"/>
      <c r="O425" s="302"/>
      <c r="P425" s="302"/>
      <c r="Q425" s="302"/>
      <c r="R425" s="302"/>
      <c r="S425" s="302"/>
      <c r="T425" s="302"/>
    </row>
    <row r="426" spans="1:20" ht="10.5" customHeight="1">
      <c r="A426" s="302"/>
      <c r="B426" s="302"/>
      <c r="C426" s="302"/>
      <c r="D426" s="302"/>
      <c r="E426" s="302"/>
      <c r="F426" s="302"/>
      <c r="G426" s="302"/>
      <c r="H426" s="45"/>
      <c r="I426" s="302"/>
      <c r="J426" s="302"/>
      <c r="K426" s="302"/>
      <c r="L426" s="302"/>
      <c r="M426" s="302"/>
      <c r="N426" s="302"/>
      <c r="O426" s="302"/>
      <c r="P426" s="302"/>
      <c r="Q426" s="302"/>
      <c r="R426" s="302"/>
      <c r="S426" s="302"/>
      <c r="T426" s="302"/>
    </row>
    <row r="427" spans="1:20" ht="10.5" customHeight="1">
      <c r="A427" s="302"/>
      <c r="B427" s="302"/>
      <c r="C427" s="302"/>
      <c r="D427" s="302"/>
      <c r="E427" s="302"/>
      <c r="F427" s="302"/>
      <c r="G427" s="302"/>
      <c r="H427" s="45"/>
      <c r="I427" s="302"/>
      <c r="J427" s="302"/>
      <c r="K427" s="302"/>
      <c r="L427" s="302"/>
      <c r="M427" s="302"/>
      <c r="N427" s="302"/>
      <c r="O427" s="302"/>
      <c r="P427" s="302"/>
      <c r="Q427" s="302"/>
      <c r="R427" s="302"/>
      <c r="S427" s="302"/>
      <c r="T427" s="302"/>
    </row>
    <row r="428" spans="1:20" ht="10.5" customHeight="1">
      <c r="A428" s="302"/>
      <c r="B428" s="302"/>
      <c r="C428" s="302"/>
      <c r="D428" s="302"/>
      <c r="E428" s="302"/>
      <c r="F428" s="302"/>
      <c r="G428" s="302"/>
      <c r="H428" s="45"/>
      <c r="I428" s="302"/>
      <c r="J428" s="302"/>
      <c r="K428" s="302"/>
      <c r="L428" s="302"/>
      <c r="M428" s="302"/>
      <c r="N428" s="302"/>
      <c r="O428" s="302"/>
      <c r="P428" s="302"/>
      <c r="Q428" s="302"/>
      <c r="R428" s="302"/>
      <c r="S428" s="302"/>
      <c r="T428" s="302"/>
    </row>
    <row r="429" spans="1:20" ht="10.5" customHeight="1">
      <c r="A429" s="302"/>
      <c r="B429" s="302"/>
      <c r="C429" s="302"/>
      <c r="D429" s="302"/>
      <c r="E429" s="302"/>
      <c r="F429" s="302"/>
      <c r="G429" s="302"/>
      <c r="H429" s="45"/>
      <c r="I429" s="302"/>
      <c r="J429" s="302"/>
      <c r="K429" s="302"/>
      <c r="L429" s="302"/>
      <c r="M429" s="302"/>
      <c r="N429" s="302"/>
      <c r="O429" s="302"/>
      <c r="P429" s="302"/>
      <c r="Q429" s="302"/>
      <c r="R429" s="302"/>
      <c r="S429" s="302"/>
      <c r="T429" s="302"/>
    </row>
    <row r="430" spans="1:20" ht="10.5" customHeight="1">
      <c r="A430" s="302"/>
      <c r="B430" s="302"/>
      <c r="C430" s="302"/>
      <c r="D430" s="302"/>
      <c r="E430" s="302"/>
      <c r="F430" s="302"/>
      <c r="G430" s="302"/>
      <c r="H430" s="45"/>
      <c r="I430" s="302"/>
      <c r="J430" s="302"/>
      <c r="K430" s="302"/>
      <c r="L430" s="302"/>
      <c r="M430" s="302"/>
      <c r="N430" s="302"/>
      <c r="O430" s="302"/>
      <c r="P430" s="302"/>
      <c r="Q430" s="302"/>
      <c r="R430" s="302"/>
      <c r="S430" s="302"/>
      <c r="T430" s="302"/>
    </row>
    <row r="431" spans="1:20" ht="10.5" customHeight="1">
      <c r="A431" s="302"/>
      <c r="B431" s="302"/>
      <c r="C431" s="302"/>
      <c r="D431" s="302"/>
      <c r="E431" s="302"/>
      <c r="F431" s="302"/>
      <c r="G431" s="302"/>
      <c r="H431" s="45"/>
      <c r="I431" s="302"/>
      <c r="J431" s="302"/>
      <c r="K431" s="302"/>
      <c r="L431" s="302"/>
      <c r="M431" s="302"/>
      <c r="N431" s="302"/>
      <c r="O431" s="302"/>
      <c r="P431" s="302"/>
      <c r="Q431" s="302"/>
      <c r="R431" s="302"/>
      <c r="S431" s="302"/>
      <c r="T431" s="302"/>
    </row>
    <row r="432" spans="1:20" ht="10.5" customHeight="1">
      <c r="A432" s="302"/>
      <c r="B432" s="302"/>
      <c r="C432" s="302"/>
      <c r="D432" s="302"/>
      <c r="E432" s="302"/>
      <c r="F432" s="302"/>
      <c r="G432" s="302"/>
      <c r="H432" s="45"/>
      <c r="I432" s="302"/>
      <c r="J432" s="302"/>
      <c r="K432" s="302"/>
      <c r="L432" s="302"/>
      <c r="M432" s="302"/>
      <c r="N432" s="302"/>
      <c r="O432" s="302"/>
      <c r="P432" s="302"/>
      <c r="Q432" s="302"/>
      <c r="R432" s="302"/>
      <c r="S432" s="302"/>
      <c r="T432" s="302"/>
    </row>
    <row r="433" spans="1:20" ht="10.5" customHeight="1">
      <c r="A433" s="302"/>
      <c r="B433" s="302"/>
      <c r="C433" s="302"/>
      <c r="D433" s="302"/>
      <c r="E433" s="302"/>
      <c r="F433" s="302"/>
      <c r="G433" s="302"/>
      <c r="H433" s="45"/>
      <c r="I433" s="302"/>
      <c r="J433" s="302"/>
      <c r="K433" s="302"/>
      <c r="L433" s="302"/>
      <c r="M433" s="302"/>
      <c r="N433" s="302"/>
      <c r="O433" s="302"/>
      <c r="P433" s="302"/>
      <c r="Q433" s="302"/>
      <c r="R433" s="302"/>
      <c r="S433" s="302"/>
      <c r="T433" s="302"/>
    </row>
    <row r="434" spans="1:20" ht="10.5" customHeight="1">
      <c r="A434" s="302"/>
      <c r="B434" s="302"/>
      <c r="C434" s="302"/>
      <c r="D434" s="302"/>
      <c r="E434" s="302"/>
      <c r="F434" s="302"/>
      <c r="G434" s="302"/>
      <c r="H434" s="45"/>
      <c r="I434" s="302"/>
      <c r="J434" s="302"/>
      <c r="K434" s="302"/>
      <c r="L434" s="302"/>
      <c r="M434" s="302"/>
      <c r="N434" s="302"/>
      <c r="O434" s="302"/>
      <c r="P434" s="302"/>
      <c r="Q434" s="302"/>
      <c r="R434" s="302"/>
      <c r="S434" s="302"/>
      <c r="T434" s="302"/>
    </row>
    <row r="435" spans="1:20" ht="10.5" customHeight="1">
      <c r="A435" s="302"/>
      <c r="B435" s="302"/>
      <c r="C435" s="302"/>
      <c r="D435" s="302"/>
      <c r="E435" s="302"/>
      <c r="F435" s="302"/>
      <c r="G435" s="302"/>
      <c r="H435" s="45"/>
      <c r="I435" s="302"/>
      <c r="J435" s="302"/>
      <c r="K435" s="302"/>
      <c r="L435" s="302"/>
      <c r="M435" s="302"/>
      <c r="N435" s="302"/>
      <c r="O435" s="302"/>
      <c r="P435" s="302"/>
      <c r="Q435" s="302"/>
      <c r="R435" s="302"/>
      <c r="S435" s="302"/>
      <c r="T435" s="302"/>
    </row>
    <row r="436" ht="10.5" customHeight="1">
      <c r="H436" s="50"/>
    </row>
    <row r="437" ht="10.5" customHeight="1">
      <c r="H437" s="50"/>
    </row>
    <row r="438" ht="10.5" customHeight="1">
      <c r="H438" s="50"/>
    </row>
    <row r="439" ht="10.5" customHeight="1">
      <c r="H439" s="50"/>
    </row>
    <row r="440" ht="10.5" customHeight="1">
      <c r="H440" s="50"/>
    </row>
    <row r="441" ht="10.5" customHeight="1">
      <c r="H441" s="50"/>
    </row>
    <row r="442" ht="10.5" customHeight="1">
      <c r="H442" s="50"/>
    </row>
    <row r="443" ht="10.5" customHeight="1">
      <c r="H443" s="50"/>
    </row>
    <row r="444" ht="10.5" customHeight="1">
      <c r="H444" s="50"/>
    </row>
    <row r="445" ht="10.5" customHeight="1">
      <c r="H445" s="50"/>
    </row>
    <row r="446" ht="10.5" customHeight="1">
      <c r="H446" s="50"/>
    </row>
    <row r="447" ht="10.5" customHeight="1">
      <c r="H447" s="50"/>
    </row>
    <row r="448" ht="10.5" customHeight="1">
      <c r="H448" s="50"/>
    </row>
    <row r="449" ht="10.5" customHeight="1">
      <c r="H449" s="50"/>
    </row>
    <row r="450" ht="10.5" customHeight="1">
      <c r="H450" s="50"/>
    </row>
    <row r="451" ht="10.5" customHeight="1">
      <c r="H451" s="50"/>
    </row>
    <row r="452" ht="10.5" customHeight="1">
      <c r="H452" s="50"/>
    </row>
    <row r="453" ht="10.5" customHeight="1">
      <c r="H453" s="50"/>
    </row>
    <row r="454" ht="10.5" customHeight="1">
      <c r="H454" s="50"/>
    </row>
    <row r="455" ht="10.5" customHeight="1">
      <c r="H455" s="50"/>
    </row>
    <row r="456" ht="10.5" customHeight="1">
      <c r="H456" s="50"/>
    </row>
    <row r="457" ht="10.5" customHeight="1">
      <c r="H457" s="50"/>
    </row>
    <row r="458" ht="10.5" customHeight="1">
      <c r="H458" s="50"/>
    </row>
    <row r="459" ht="10.5" customHeight="1">
      <c r="H459" s="50"/>
    </row>
    <row r="460" ht="10.5" customHeight="1">
      <c r="H460" s="50"/>
    </row>
    <row r="461" ht="10.5" customHeight="1">
      <c r="H461" s="50"/>
    </row>
    <row r="462" ht="10.5" customHeight="1">
      <c r="H462" s="50"/>
    </row>
    <row r="463" ht="10.5" customHeight="1">
      <c r="H463" s="50"/>
    </row>
    <row r="464" ht="10.5" customHeight="1">
      <c r="H464" s="50"/>
    </row>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c r="H504" s="50"/>
    </row>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sheetData>
  <sheetProtection password="CC0D" sheet="1"/>
  <printOptions horizontalCentered="1"/>
  <pageMargins left="0.5" right="0.5" top="0" bottom="0" header="0" footer="0"/>
  <pageSetup horizontalDpi="300" verticalDpi="300" orientation="portrait" r:id="rId1"/>
  <rowBreaks count="4" manualBreakCount="4">
    <brk id="78" max="65535" man="1"/>
    <brk id="141" max="65535" man="1"/>
    <brk id="205" max="65535" man="1"/>
    <brk id="271" max="65535" man="1"/>
  </rowBreaks>
</worksheet>
</file>

<file path=xl/worksheets/sheet6.xml><?xml version="1.0" encoding="utf-8"?>
<worksheet xmlns="http://schemas.openxmlformats.org/spreadsheetml/2006/main" xmlns:r="http://schemas.openxmlformats.org/officeDocument/2006/relationships">
  <sheetPr codeName="Sheet6"/>
  <dimension ref="A1:DT910"/>
  <sheetViews>
    <sheetView zoomScalePageLayoutView="0" workbookViewId="0" topLeftCell="DA399">
      <selection activeCell="DJ473" sqref="DJ473"/>
    </sheetView>
  </sheetViews>
  <sheetFormatPr defaultColWidth="9.140625" defaultRowHeight="15" customHeight="1"/>
  <cols>
    <col min="1" max="104" width="9.140625" style="29" customWidth="1"/>
    <col min="105" max="105" width="9.28125" style="29" bestFit="1" customWidth="1"/>
    <col min="106" max="106" width="9.140625" style="29" customWidth="1"/>
    <col min="107" max="107" width="12.57421875" style="29" customWidth="1"/>
    <col min="108" max="108" width="9.28125" style="29" bestFit="1" customWidth="1"/>
    <col min="109" max="109" width="11.57421875" style="29" customWidth="1"/>
    <col min="110" max="111" width="9.140625" style="29" customWidth="1"/>
    <col min="112" max="112" width="10.8515625" style="29" customWidth="1"/>
    <col min="113" max="113" width="9.28125" style="29" bestFit="1" customWidth="1"/>
    <col min="114" max="114" width="9.140625" style="29" bestFit="1" customWidth="1"/>
    <col min="115" max="115" width="8.28125" style="29" bestFit="1" customWidth="1"/>
    <col min="116" max="121" width="5.7109375" style="29" customWidth="1"/>
    <col min="122" max="16384" width="9.140625" style="29" customWidth="1"/>
  </cols>
  <sheetData>
    <row r="1" spans="1:23" ht="15" customHeight="1">
      <c r="A1"/>
      <c r="B1"/>
      <c r="C1"/>
      <c r="D1"/>
      <c r="E1"/>
      <c r="F1"/>
      <c r="G1"/>
      <c r="H1"/>
      <c r="I1"/>
      <c r="J1"/>
      <c r="K1"/>
      <c r="L1"/>
      <c r="M1"/>
      <c r="N1"/>
      <c r="O1"/>
      <c r="P1"/>
      <c r="Q1"/>
      <c r="R1"/>
      <c r="S1"/>
      <c r="T1"/>
      <c r="U1"/>
      <c r="V1"/>
      <c r="W1"/>
    </row>
    <row r="2" spans="1:23" ht="15" customHeight="1">
      <c r="A2"/>
      <c r="B2"/>
      <c r="C2"/>
      <c r="D2"/>
      <c r="E2"/>
      <c r="F2"/>
      <c r="G2"/>
      <c r="H2"/>
      <c r="I2"/>
      <c r="J2"/>
      <c r="K2"/>
      <c r="L2"/>
      <c r="M2"/>
      <c r="N2"/>
      <c r="O2"/>
      <c r="P2"/>
      <c r="Q2"/>
      <c r="R2"/>
      <c r="S2"/>
      <c r="T2"/>
      <c r="U2"/>
      <c r="V2"/>
      <c r="W2"/>
    </row>
    <row r="3" spans="1:23" ht="15" customHeight="1">
      <c r="A3"/>
      <c r="B3"/>
      <c r="C3"/>
      <c r="D3"/>
      <c r="E3"/>
      <c r="F3"/>
      <c r="G3"/>
      <c r="H3"/>
      <c r="I3"/>
      <c r="J3"/>
      <c r="K3"/>
      <c r="L3"/>
      <c r="M3"/>
      <c r="N3"/>
      <c r="O3"/>
      <c r="P3"/>
      <c r="Q3"/>
      <c r="R3"/>
      <c r="S3"/>
      <c r="T3"/>
      <c r="U3"/>
      <c r="V3"/>
      <c r="W3"/>
    </row>
    <row r="4" spans="1:23" ht="15" customHeight="1">
      <c r="A4"/>
      <c r="B4"/>
      <c r="C4"/>
      <c r="D4"/>
      <c r="E4"/>
      <c r="F4"/>
      <c r="G4"/>
      <c r="H4"/>
      <c r="I4"/>
      <c r="J4"/>
      <c r="K4"/>
      <c r="L4"/>
      <c r="M4"/>
      <c r="N4"/>
      <c r="O4"/>
      <c r="P4"/>
      <c r="Q4"/>
      <c r="R4"/>
      <c r="S4"/>
      <c r="T4"/>
      <c r="U4"/>
      <c r="V4"/>
      <c r="W4"/>
    </row>
    <row r="5" spans="1:23" ht="15" customHeight="1">
      <c r="A5"/>
      <c r="B5"/>
      <c r="C5"/>
      <c r="D5"/>
      <c r="E5"/>
      <c r="F5"/>
      <c r="G5"/>
      <c r="H5"/>
      <c r="I5"/>
      <c r="J5"/>
      <c r="K5"/>
      <c r="L5"/>
      <c r="M5"/>
      <c r="N5"/>
      <c r="O5"/>
      <c r="P5"/>
      <c r="Q5"/>
      <c r="R5"/>
      <c r="S5"/>
      <c r="T5"/>
      <c r="U5"/>
      <c r="V5"/>
      <c r="W5"/>
    </row>
    <row r="6" spans="1:23" ht="15" customHeight="1">
      <c r="A6"/>
      <c r="B6"/>
      <c r="C6"/>
      <c r="D6"/>
      <c r="E6"/>
      <c r="F6"/>
      <c r="G6"/>
      <c r="H6"/>
      <c r="I6"/>
      <c r="J6"/>
      <c r="K6"/>
      <c r="L6"/>
      <c r="M6"/>
      <c r="N6"/>
      <c r="O6"/>
      <c r="P6"/>
      <c r="Q6"/>
      <c r="R6"/>
      <c r="S6"/>
      <c r="T6"/>
      <c r="U6"/>
      <c r="V6"/>
      <c r="W6"/>
    </row>
    <row r="7" spans="1:23" ht="15" customHeight="1">
      <c r="A7"/>
      <c r="B7"/>
      <c r="C7"/>
      <c r="D7"/>
      <c r="E7"/>
      <c r="F7"/>
      <c r="G7"/>
      <c r="H7"/>
      <c r="I7"/>
      <c r="J7"/>
      <c r="K7"/>
      <c r="L7"/>
      <c r="M7"/>
      <c r="N7"/>
      <c r="O7"/>
      <c r="P7"/>
      <c r="Q7"/>
      <c r="R7"/>
      <c r="S7"/>
      <c r="T7"/>
      <c r="U7"/>
      <c r="V7"/>
      <c r="W7"/>
    </row>
    <row r="8" spans="1:23" ht="15" customHeight="1">
      <c r="A8"/>
      <c r="B8"/>
      <c r="C8"/>
      <c r="D8"/>
      <c r="E8"/>
      <c r="F8"/>
      <c r="G8"/>
      <c r="H8"/>
      <c r="I8"/>
      <c r="J8"/>
      <c r="K8"/>
      <c r="L8"/>
      <c r="M8"/>
      <c r="N8"/>
      <c r="O8"/>
      <c r="P8"/>
      <c r="Q8"/>
      <c r="R8"/>
      <c r="S8"/>
      <c r="T8"/>
      <c r="U8"/>
      <c r="V8"/>
      <c r="W8"/>
    </row>
    <row r="9" spans="1:23" ht="15" customHeight="1">
      <c r="A9"/>
      <c r="B9"/>
      <c r="C9"/>
      <c r="D9"/>
      <c r="E9"/>
      <c r="F9"/>
      <c r="G9"/>
      <c r="H9"/>
      <c r="I9"/>
      <c r="J9"/>
      <c r="K9"/>
      <c r="L9"/>
      <c r="M9"/>
      <c r="N9"/>
      <c r="O9"/>
      <c r="P9"/>
      <c r="Q9"/>
      <c r="R9"/>
      <c r="S9"/>
      <c r="T9"/>
      <c r="U9"/>
      <c r="V9"/>
      <c r="W9"/>
    </row>
    <row r="10" spans="1:23" ht="15" customHeight="1">
      <c r="A10"/>
      <c r="B10"/>
      <c r="C10"/>
      <c r="D10"/>
      <c r="E10"/>
      <c r="F10"/>
      <c r="G10"/>
      <c r="H10"/>
      <c r="I10"/>
      <c r="J10"/>
      <c r="K10"/>
      <c r="L10"/>
      <c r="M10"/>
      <c r="N10"/>
      <c r="O10"/>
      <c r="P10"/>
      <c r="Q10"/>
      <c r="R10"/>
      <c r="S10"/>
      <c r="T10"/>
      <c r="U10"/>
      <c r="V10"/>
      <c r="W10"/>
    </row>
    <row r="11" spans="1:23" ht="15" customHeight="1">
      <c r="A11"/>
      <c r="B11"/>
      <c r="C11"/>
      <c r="D11"/>
      <c r="E11"/>
      <c r="F11"/>
      <c r="G11"/>
      <c r="H11"/>
      <c r="I11"/>
      <c r="J11"/>
      <c r="K11"/>
      <c r="L11"/>
      <c r="M11"/>
      <c r="N11"/>
      <c r="O11"/>
      <c r="P11"/>
      <c r="Q11"/>
      <c r="R11"/>
      <c r="S11"/>
      <c r="T11"/>
      <c r="U11"/>
      <c r="V11"/>
      <c r="W11"/>
    </row>
    <row r="12" spans="1:23" ht="15" customHeight="1">
      <c r="A12"/>
      <c r="B12"/>
      <c r="C12"/>
      <c r="D12"/>
      <c r="E12"/>
      <c r="F12"/>
      <c r="G12"/>
      <c r="H12"/>
      <c r="I12"/>
      <c r="J12"/>
      <c r="K12"/>
      <c r="L12"/>
      <c r="M12"/>
      <c r="N12"/>
      <c r="O12"/>
      <c r="P12"/>
      <c r="Q12"/>
      <c r="R12"/>
      <c r="S12"/>
      <c r="T12"/>
      <c r="U12"/>
      <c r="V12"/>
      <c r="W12"/>
    </row>
    <row r="13" spans="1:23" ht="15" customHeight="1">
      <c r="A13"/>
      <c r="B13"/>
      <c r="C13"/>
      <c r="D13"/>
      <c r="E13"/>
      <c r="F13"/>
      <c r="G13"/>
      <c r="H13"/>
      <c r="I13"/>
      <c r="J13"/>
      <c r="K13"/>
      <c r="L13"/>
      <c r="M13"/>
      <c r="N13"/>
      <c r="O13"/>
      <c r="P13"/>
      <c r="Q13"/>
      <c r="R13"/>
      <c r="S13"/>
      <c r="T13"/>
      <c r="U13"/>
      <c r="V13"/>
      <c r="W13"/>
    </row>
    <row r="14" spans="1:23" ht="15" customHeight="1">
      <c r="A14"/>
      <c r="B14"/>
      <c r="C14"/>
      <c r="D14"/>
      <c r="E14"/>
      <c r="F14"/>
      <c r="G14"/>
      <c r="H14"/>
      <c r="I14"/>
      <c r="J14"/>
      <c r="K14"/>
      <c r="L14"/>
      <c r="M14"/>
      <c r="N14"/>
      <c r="O14"/>
      <c r="P14"/>
      <c r="Q14"/>
      <c r="R14"/>
      <c r="S14"/>
      <c r="T14"/>
      <c r="U14"/>
      <c r="V14"/>
      <c r="W14"/>
    </row>
    <row r="15" spans="1:23" ht="15" customHeight="1">
      <c r="A15"/>
      <c r="B15"/>
      <c r="C15"/>
      <c r="D15"/>
      <c r="E15"/>
      <c r="F15"/>
      <c r="G15"/>
      <c r="H15"/>
      <c r="I15"/>
      <c r="J15"/>
      <c r="K15"/>
      <c r="L15"/>
      <c r="M15"/>
      <c r="N15"/>
      <c r="O15"/>
      <c r="P15"/>
      <c r="Q15"/>
      <c r="R15"/>
      <c r="S15"/>
      <c r="T15"/>
      <c r="U15"/>
      <c r="V15"/>
      <c r="W15"/>
    </row>
    <row r="16" spans="1:23" ht="15" customHeight="1">
      <c r="A16"/>
      <c r="B16"/>
      <c r="C16"/>
      <c r="D16"/>
      <c r="E16"/>
      <c r="F16"/>
      <c r="G16"/>
      <c r="H16"/>
      <c r="I16"/>
      <c r="J16"/>
      <c r="K16"/>
      <c r="L16"/>
      <c r="M16"/>
      <c r="N16"/>
      <c r="O16"/>
      <c r="P16"/>
      <c r="Q16"/>
      <c r="R16"/>
      <c r="S16"/>
      <c r="T16"/>
      <c r="U16"/>
      <c r="V16"/>
      <c r="W16"/>
    </row>
    <row r="17" spans="1:23" ht="15" customHeight="1">
      <c r="A17"/>
      <c r="B17"/>
      <c r="C17"/>
      <c r="D17"/>
      <c r="E17"/>
      <c r="F17"/>
      <c r="G17"/>
      <c r="H17"/>
      <c r="I17"/>
      <c r="J17"/>
      <c r="K17"/>
      <c r="L17"/>
      <c r="M17"/>
      <c r="N17"/>
      <c r="O17"/>
      <c r="P17"/>
      <c r="Q17"/>
      <c r="R17"/>
      <c r="S17"/>
      <c r="T17"/>
      <c r="U17"/>
      <c r="V17"/>
      <c r="W17"/>
    </row>
    <row r="18" spans="1:23" ht="15" customHeight="1">
      <c r="A18"/>
      <c r="B18"/>
      <c r="C18"/>
      <c r="D18"/>
      <c r="E18"/>
      <c r="F18"/>
      <c r="G18"/>
      <c r="H18"/>
      <c r="I18"/>
      <c r="J18"/>
      <c r="K18"/>
      <c r="L18"/>
      <c r="M18"/>
      <c r="N18"/>
      <c r="O18"/>
      <c r="P18"/>
      <c r="Q18"/>
      <c r="R18"/>
      <c r="S18"/>
      <c r="T18"/>
      <c r="U18"/>
      <c r="V18"/>
      <c r="W18"/>
    </row>
    <row r="19" spans="1:23" ht="15" customHeight="1">
      <c r="A19"/>
      <c r="B19"/>
      <c r="C19"/>
      <c r="D19"/>
      <c r="E19"/>
      <c r="F19"/>
      <c r="G19"/>
      <c r="H19"/>
      <c r="I19"/>
      <c r="J19"/>
      <c r="K19"/>
      <c r="L19"/>
      <c r="M19"/>
      <c r="N19"/>
      <c r="O19"/>
      <c r="P19"/>
      <c r="Q19"/>
      <c r="R19"/>
      <c r="S19"/>
      <c r="T19"/>
      <c r="U19"/>
      <c r="V19"/>
      <c r="W19"/>
    </row>
    <row r="20" spans="1:23" ht="15" customHeight="1">
      <c r="A20"/>
      <c r="B20"/>
      <c r="C20"/>
      <c r="D20"/>
      <c r="E20"/>
      <c r="F20"/>
      <c r="G20"/>
      <c r="H20"/>
      <c r="I20"/>
      <c r="J20"/>
      <c r="K20"/>
      <c r="L20"/>
      <c r="M20"/>
      <c r="N20"/>
      <c r="O20"/>
      <c r="P20"/>
      <c r="Q20"/>
      <c r="R20"/>
      <c r="S20"/>
      <c r="T20"/>
      <c r="U20"/>
      <c r="V20"/>
      <c r="W20"/>
    </row>
    <row r="21" spans="1:23" ht="15" customHeight="1">
      <c r="A21"/>
      <c r="B21"/>
      <c r="C21"/>
      <c r="D21"/>
      <c r="E21"/>
      <c r="F21"/>
      <c r="G21"/>
      <c r="H21"/>
      <c r="I21"/>
      <c r="J21"/>
      <c r="K21"/>
      <c r="L21"/>
      <c r="M21"/>
      <c r="N21"/>
      <c r="O21"/>
      <c r="P21"/>
      <c r="Q21"/>
      <c r="R21"/>
      <c r="S21"/>
      <c r="T21"/>
      <c r="U21"/>
      <c r="V21"/>
      <c r="W21"/>
    </row>
    <row r="22" spans="1:23" ht="15" customHeight="1">
      <c r="A22"/>
      <c r="B22"/>
      <c r="C22"/>
      <c r="D22"/>
      <c r="E22"/>
      <c r="F22"/>
      <c r="G22"/>
      <c r="H22"/>
      <c r="I22"/>
      <c r="J22"/>
      <c r="K22"/>
      <c r="L22"/>
      <c r="M22"/>
      <c r="N22"/>
      <c r="O22"/>
      <c r="P22"/>
      <c r="Q22"/>
      <c r="R22"/>
      <c r="S22"/>
      <c r="T22"/>
      <c r="U22"/>
      <c r="V22"/>
      <c r="W22"/>
    </row>
    <row r="23" spans="1:23" ht="15" customHeight="1">
      <c r="A23"/>
      <c r="B23"/>
      <c r="C23"/>
      <c r="D23"/>
      <c r="E23"/>
      <c r="F23"/>
      <c r="G23"/>
      <c r="H23"/>
      <c r="I23"/>
      <c r="J23"/>
      <c r="K23"/>
      <c r="L23"/>
      <c r="M23"/>
      <c r="N23"/>
      <c r="O23"/>
      <c r="P23"/>
      <c r="Q23"/>
      <c r="R23"/>
      <c r="S23"/>
      <c r="T23"/>
      <c r="U23"/>
      <c r="V23"/>
      <c r="W23"/>
    </row>
    <row r="24" spans="1:23" ht="15" customHeight="1">
      <c r="A24"/>
      <c r="B24"/>
      <c r="C24"/>
      <c r="D24"/>
      <c r="E24"/>
      <c r="F24"/>
      <c r="G24"/>
      <c r="H24"/>
      <c r="I24"/>
      <c r="J24"/>
      <c r="K24"/>
      <c r="L24"/>
      <c r="M24"/>
      <c r="N24"/>
      <c r="O24"/>
      <c r="P24"/>
      <c r="Q24"/>
      <c r="R24"/>
      <c r="S24"/>
      <c r="T24"/>
      <c r="U24"/>
      <c r="V24"/>
      <c r="W24"/>
    </row>
    <row r="25" spans="1:23" ht="15" customHeight="1">
      <c r="A25"/>
      <c r="B25"/>
      <c r="C25"/>
      <c r="D25"/>
      <c r="E25"/>
      <c r="F25"/>
      <c r="G25"/>
      <c r="H25"/>
      <c r="I25"/>
      <c r="J25"/>
      <c r="K25"/>
      <c r="L25"/>
      <c r="M25"/>
      <c r="N25"/>
      <c r="O25"/>
      <c r="P25"/>
      <c r="Q25"/>
      <c r="R25"/>
      <c r="S25"/>
      <c r="T25"/>
      <c r="U25"/>
      <c r="V25"/>
      <c r="W25"/>
    </row>
    <row r="26" spans="1:23" ht="15" customHeight="1">
      <c r="A26"/>
      <c r="B26"/>
      <c r="C26"/>
      <c r="D26"/>
      <c r="E26"/>
      <c r="F26"/>
      <c r="G26"/>
      <c r="H26"/>
      <c r="I26"/>
      <c r="J26"/>
      <c r="K26"/>
      <c r="L26"/>
      <c r="M26"/>
      <c r="N26"/>
      <c r="O26"/>
      <c r="P26"/>
      <c r="Q26"/>
      <c r="R26"/>
      <c r="S26"/>
      <c r="T26"/>
      <c r="U26"/>
      <c r="V26"/>
      <c r="W26"/>
    </row>
    <row r="27" spans="1:23" ht="15" customHeight="1">
      <c r="A27"/>
      <c r="B27"/>
      <c r="C27"/>
      <c r="D27"/>
      <c r="E27"/>
      <c r="F27"/>
      <c r="G27"/>
      <c r="H27"/>
      <c r="I27"/>
      <c r="J27"/>
      <c r="K27"/>
      <c r="L27"/>
      <c r="M27"/>
      <c r="N27"/>
      <c r="O27"/>
      <c r="P27"/>
      <c r="Q27"/>
      <c r="R27"/>
      <c r="S27"/>
      <c r="T27"/>
      <c r="U27"/>
      <c r="V27"/>
      <c r="W27"/>
    </row>
    <row r="28" spans="1:23" ht="15" customHeight="1">
      <c r="A28"/>
      <c r="B28"/>
      <c r="C28"/>
      <c r="D28"/>
      <c r="E28"/>
      <c r="F28"/>
      <c r="G28"/>
      <c r="H28"/>
      <c r="I28"/>
      <c r="J28"/>
      <c r="K28"/>
      <c r="L28"/>
      <c r="M28"/>
      <c r="N28"/>
      <c r="O28"/>
      <c r="P28"/>
      <c r="Q28"/>
      <c r="R28"/>
      <c r="S28"/>
      <c r="T28"/>
      <c r="U28"/>
      <c r="V28"/>
      <c r="W28"/>
    </row>
    <row r="29" spans="1:23" ht="15" customHeight="1">
      <c r="A29"/>
      <c r="B29"/>
      <c r="C29"/>
      <c r="D29"/>
      <c r="E29"/>
      <c r="F29"/>
      <c r="G29"/>
      <c r="H29"/>
      <c r="I29"/>
      <c r="J29"/>
      <c r="K29"/>
      <c r="L29"/>
      <c r="M29"/>
      <c r="N29"/>
      <c r="O29"/>
      <c r="P29"/>
      <c r="Q29"/>
      <c r="R29"/>
      <c r="S29"/>
      <c r="T29"/>
      <c r="U29"/>
      <c r="V29"/>
      <c r="W29"/>
    </row>
    <row r="30" spans="1:23" ht="15" customHeight="1">
      <c r="A30"/>
      <c r="B30"/>
      <c r="C30"/>
      <c r="D30"/>
      <c r="E30"/>
      <c r="F30"/>
      <c r="G30"/>
      <c r="H30"/>
      <c r="I30"/>
      <c r="J30"/>
      <c r="K30"/>
      <c r="L30"/>
      <c r="M30"/>
      <c r="N30"/>
      <c r="O30"/>
      <c r="P30"/>
      <c r="Q30"/>
      <c r="R30"/>
      <c r="S30"/>
      <c r="T30"/>
      <c r="U30"/>
      <c r="V30"/>
      <c r="W30"/>
    </row>
    <row r="31" spans="1:23" ht="15" customHeight="1">
      <c r="A31"/>
      <c r="B31"/>
      <c r="C31"/>
      <c r="D31"/>
      <c r="E31"/>
      <c r="F31"/>
      <c r="G31"/>
      <c r="H31"/>
      <c r="I31"/>
      <c r="J31"/>
      <c r="K31"/>
      <c r="L31"/>
      <c r="M31"/>
      <c r="N31"/>
      <c r="O31"/>
      <c r="P31"/>
      <c r="Q31"/>
      <c r="R31"/>
      <c r="S31"/>
      <c r="T31"/>
      <c r="U31"/>
      <c r="V31"/>
      <c r="W31"/>
    </row>
    <row r="32" spans="1:23" ht="15" customHeight="1">
      <c r="A32"/>
      <c r="B32"/>
      <c r="C32"/>
      <c r="D32"/>
      <c r="E32"/>
      <c r="F32"/>
      <c r="G32"/>
      <c r="H32"/>
      <c r="I32"/>
      <c r="J32"/>
      <c r="K32"/>
      <c r="L32"/>
      <c r="M32"/>
      <c r="N32"/>
      <c r="O32"/>
      <c r="P32"/>
      <c r="Q32"/>
      <c r="R32"/>
      <c r="S32"/>
      <c r="T32"/>
      <c r="U32"/>
      <c r="V32"/>
      <c r="W32"/>
    </row>
    <row r="33" spans="1:23" ht="15" customHeight="1">
      <c r="A33"/>
      <c r="B33"/>
      <c r="C33"/>
      <c r="D33"/>
      <c r="E33"/>
      <c r="F33"/>
      <c r="G33"/>
      <c r="H33"/>
      <c r="I33"/>
      <c r="J33"/>
      <c r="K33"/>
      <c r="L33"/>
      <c r="M33"/>
      <c r="N33"/>
      <c r="O33"/>
      <c r="P33"/>
      <c r="Q33"/>
      <c r="R33"/>
      <c r="S33"/>
      <c r="T33"/>
      <c r="U33"/>
      <c r="V33"/>
      <c r="W33"/>
    </row>
    <row r="34" spans="1:23" ht="15" customHeight="1">
      <c r="A34"/>
      <c r="B34"/>
      <c r="C34"/>
      <c r="D34"/>
      <c r="E34"/>
      <c r="F34"/>
      <c r="G34"/>
      <c r="H34"/>
      <c r="I34"/>
      <c r="J34"/>
      <c r="K34"/>
      <c r="L34"/>
      <c r="M34"/>
      <c r="N34"/>
      <c r="O34"/>
      <c r="P34"/>
      <c r="Q34"/>
      <c r="R34"/>
      <c r="S34"/>
      <c r="T34"/>
      <c r="U34"/>
      <c r="V34"/>
      <c r="W34"/>
    </row>
    <row r="35" spans="1:23" ht="15" customHeight="1">
      <c r="A35"/>
      <c r="B35"/>
      <c r="C35"/>
      <c r="D35"/>
      <c r="E35"/>
      <c r="F35"/>
      <c r="G35"/>
      <c r="H35"/>
      <c r="I35"/>
      <c r="J35"/>
      <c r="K35"/>
      <c r="L35"/>
      <c r="M35"/>
      <c r="N35"/>
      <c r="O35"/>
      <c r="P35"/>
      <c r="Q35"/>
      <c r="R35"/>
      <c r="S35"/>
      <c r="T35"/>
      <c r="U35"/>
      <c r="V35"/>
      <c r="W35"/>
    </row>
    <row r="36" spans="1:23" ht="15" customHeight="1">
      <c r="A36"/>
      <c r="B36"/>
      <c r="C36"/>
      <c r="D36"/>
      <c r="E36"/>
      <c r="F36"/>
      <c r="G36"/>
      <c r="H36"/>
      <c r="I36"/>
      <c r="J36"/>
      <c r="K36"/>
      <c r="L36"/>
      <c r="M36"/>
      <c r="N36"/>
      <c r="O36"/>
      <c r="P36"/>
      <c r="Q36"/>
      <c r="R36"/>
      <c r="S36"/>
      <c r="T36"/>
      <c r="U36"/>
      <c r="V36"/>
      <c r="W36"/>
    </row>
    <row r="37" spans="1:23" ht="15" customHeight="1">
      <c r="A37"/>
      <c r="B37"/>
      <c r="C37"/>
      <c r="D37"/>
      <c r="E37"/>
      <c r="F37"/>
      <c r="G37"/>
      <c r="H37"/>
      <c r="I37"/>
      <c r="J37"/>
      <c r="K37"/>
      <c r="L37"/>
      <c r="M37"/>
      <c r="N37"/>
      <c r="O37"/>
      <c r="P37"/>
      <c r="Q37"/>
      <c r="R37"/>
      <c r="S37"/>
      <c r="T37"/>
      <c r="U37"/>
      <c r="V37"/>
      <c r="W37"/>
    </row>
    <row r="38" spans="1:23" ht="15" customHeight="1">
      <c r="A38"/>
      <c r="B38"/>
      <c r="C38"/>
      <c r="D38"/>
      <c r="E38"/>
      <c r="F38"/>
      <c r="G38"/>
      <c r="H38"/>
      <c r="I38"/>
      <c r="J38"/>
      <c r="K38"/>
      <c r="L38"/>
      <c r="M38"/>
      <c r="N38"/>
      <c r="O38"/>
      <c r="P38"/>
      <c r="Q38"/>
      <c r="R38"/>
      <c r="S38"/>
      <c r="T38"/>
      <c r="U38"/>
      <c r="V38"/>
      <c r="W38"/>
    </row>
    <row r="39" spans="1:23" ht="15" customHeight="1">
      <c r="A39"/>
      <c r="B39"/>
      <c r="C39"/>
      <c r="D39"/>
      <c r="E39"/>
      <c r="F39"/>
      <c r="G39"/>
      <c r="H39"/>
      <c r="I39"/>
      <c r="J39"/>
      <c r="K39"/>
      <c r="L39"/>
      <c r="M39"/>
      <c r="N39"/>
      <c r="O39"/>
      <c r="P39"/>
      <c r="Q39"/>
      <c r="R39"/>
      <c r="S39"/>
      <c r="T39"/>
      <c r="U39"/>
      <c r="V39"/>
      <c r="W39"/>
    </row>
    <row r="40" spans="1:23" ht="15" customHeight="1">
      <c r="A40"/>
      <c r="B40"/>
      <c r="C40"/>
      <c r="D40"/>
      <c r="E40"/>
      <c r="F40"/>
      <c r="G40"/>
      <c r="H40"/>
      <c r="I40"/>
      <c r="J40"/>
      <c r="K40"/>
      <c r="L40"/>
      <c r="M40"/>
      <c r="N40"/>
      <c r="O40"/>
      <c r="P40"/>
      <c r="Q40"/>
      <c r="R40"/>
      <c r="S40"/>
      <c r="T40"/>
      <c r="U40"/>
      <c r="V40"/>
      <c r="W40"/>
    </row>
    <row r="41" spans="1:23" ht="15" customHeight="1">
      <c r="A41"/>
      <c r="B41"/>
      <c r="C41"/>
      <c r="D41"/>
      <c r="E41"/>
      <c r="F41"/>
      <c r="G41"/>
      <c r="H41"/>
      <c r="I41"/>
      <c r="J41"/>
      <c r="K41"/>
      <c r="L41"/>
      <c r="M41"/>
      <c r="N41"/>
      <c r="O41"/>
      <c r="P41"/>
      <c r="Q41"/>
      <c r="R41"/>
      <c r="S41"/>
      <c r="T41"/>
      <c r="U41"/>
      <c r="V41"/>
      <c r="W41"/>
    </row>
    <row r="42" spans="1:23" ht="15" customHeight="1">
      <c r="A42"/>
      <c r="B42"/>
      <c r="C42"/>
      <c r="D42"/>
      <c r="E42"/>
      <c r="F42"/>
      <c r="G42"/>
      <c r="H42"/>
      <c r="I42"/>
      <c r="J42"/>
      <c r="K42"/>
      <c r="L42"/>
      <c r="M42"/>
      <c r="N42"/>
      <c r="O42"/>
      <c r="P42"/>
      <c r="Q42"/>
      <c r="R42"/>
      <c r="S42"/>
      <c r="T42"/>
      <c r="U42"/>
      <c r="V42"/>
      <c r="W42"/>
    </row>
    <row r="43" spans="1:23" ht="15" customHeight="1">
      <c r="A43"/>
      <c r="B43"/>
      <c r="C43"/>
      <c r="D43"/>
      <c r="E43"/>
      <c r="F43"/>
      <c r="G43"/>
      <c r="H43"/>
      <c r="I43"/>
      <c r="J43"/>
      <c r="K43"/>
      <c r="L43"/>
      <c r="M43"/>
      <c r="N43"/>
      <c r="O43"/>
      <c r="P43"/>
      <c r="Q43"/>
      <c r="R43"/>
      <c r="S43"/>
      <c r="T43"/>
      <c r="U43"/>
      <c r="V43"/>
      <c r="W43"/>
    </row>
    <row r="44" spans="1:23" ht="15" customHeight="1">
      <c r="A44"/>
      <c r="B44"/>
      <c r="C44"/>
      <c r="D44"/>
      <c r="E44"/>
      <c r="F44"/>
      <c r="G44"/>
      <c r="H44"/>
      <c r="I44"/>
      <c r="J44"/>
      <c r="K44"/>
      <c r="L44"/>
      <c r="M44"/>
      <c r="N44"/>
      <c r="O44"/>
      <c r="P44"/>
      <c r="Q44"/>
      <c r="R44"/>
      <c r="S44"/>
      <c r="T44"/>
      <c r="U44"/>
      <c r="V44"/>
      <c r="W44"/>
    </row>
    <row r="45" spans="1:23" ht="15" customHeight="1">
      <c r="A45"/>
      <c r="B45"/>
      <c r="C45"/>
      <c r="D45"/>
      <c r="E45"/>
      <c r="F45"/>
      <c r="G45"/>
      <c r="H45"/>
      <c r="I45"/>
      <c r="J45"/>
      <c r="K45"/>
      <c r="L45"/>
      <c r="M45"/>
      <c r="N45"/>
      <c r="O45"/>
      <c r="P45"/>
      <c r="Q45"/>
      <c r="R45"/>
      <c r="S45"/>
      <c r="T45"/>
      <c r="U45"/>
      <c r="V45"/>
      <c r="W45"/>
    </row>
    <row r="46" spans="1:23" ht="15" customHeight="1">
      <c r="A46"/>
      <c r="B46"/>
      <c r="C46"/>
      <c r="D46"/>
      <c r="E46"/>
      <c r="F46"/>
      <c r="G46"/>
      <c r="H46"/>
      <c r="I46"/>
      <c r="J46"/>
      <c r="K46"/>
      <c r="L46"/>
      <c r="M46"/>
      <c r="N46"/>
      <c r="O46"/>
      <c r="P46"/>
      <c r="Q46"/>
      <c r="R46"/>
      <c r="S46"/>
      <c r="T46"/>
      <c r="U46"/>
      <c r="V46"/>
      <c r="W46"/>
    </row>
    <row r="47" spans="1:23" ht="15" customHeight="1">
      <c r="A47"/>
      <c r="B47"/>
      <c r="C47"/>
      <c r="D47"/>
      <c r="E47"/>
      <c r="F47"/>
      <c r="G47"/>
      <c r="H47"/>
      <c r="I47"/>
      <c r="J47"/>
      <c r="K47"/>
      <c r="L47"/>
      <c r="M47"/>
      <c r="N47"/>
      <c r="O47"/>
      <c r="P47"/>
      <c r="Q47"/>
      <c r="R47"/>
      <c r="S47"/>
      <c r="T47"/>
      <c r="U47"/>
      <c r="V47"/>
      <c r="W47"/>
    </row>
    <row r="48" spans="1:23" ht="15" customHeight="1">
      <c r="A48"/>
      <c r="B48"/>
      <c r="C48"/>
      <c r="D48"/>
      <c r="E48"/>
      <c r="F48"/>
      <c r="G48"/>
      <c r="H48"/>
      <c r="I48"/>
      <c r="J48"/>
      <c r="K48"/>
      <c r="L48"/>
      <c r="M48"/>
      <c r="N48"/>
      <c r="O48"/>
      <c r="P48"/>
      <c r="Q48"/>
      <c r="R48"/>
      <c r="S48"/>
      <c r="T48"/>
      <c r="U48"/>
      <c r="V48"/>
      <c r="W48"/>
    </row>
    <row r="49" spans="1:23" ht="15" customHeight="1">
      <c r="A49"/>
      <c r="B49"/>
      <c r="C49"/>
      <c r="D49"/>
      <c r="E49"/>
      <c r="F49"/>
      <c r="G49"/>
      <c r="H49"/>
      <c r="I49"/>
      <c r="J49"/>
      <c r="K49"/>
      <c r="L49"/>
      <c r="M49"/>
      <c r="N49"/>
      <c r="O49"/>
      <c r="P49"/>
      <c r="Q49"/>
      <c r="R49"/>
      <c r="S49"/>
      <c r="T49"/>
      <c r="U49"/>
      <c r="V49"/>
      <c r="W49"/>
    </row>
    <row r="50" spans="1:23" ht="15" customHeight="1">
      <c r="A50"/>
      <c r="B50"/>
      <c r="C50"/>
      <c r="D50"/>
      <c r="E50"/>
      <c r="F50"/>
      <c r="G50"/>
      <c r="H50"/>
      <c r="I50"/>
      <c r="J50"/>
      <c r="K50"/>
      <c r="L50"/>
      <c r="M50"/>
      <c r="N50"/>
      <c r="O50"/>
      <c r="P50"/>
      <c r="Q50"/>
      <c r="R50"/>
      <c r="S50"/>
      <c r="T50"/>
      <c r="U50"/>
      <c r="V50"/>
      <c r="W50"/>
    </row>
    <row r="51" spans="1:23" ht="15" customHeight="1">
      <c r="A51"/>
      <c r="B51"/>
      <c r="C51"/>
      <c r="D51"/>
      <c r="E51"/>
      <c r="F51"/>
      <c r="G51"/>
      <c r="H51"/>
      <c r="I51"/>
      <c r="J51"/>
      <c r="K51"/>
      <c r="L51"/>
      <c r="M51"/>
      <c r="N51"/>
      <c r="O51"/>
      <c r="P51"/>
      <c r="Q51"/>
      <c r="R51"/>
      <c r="S51"/>
      <c r="T51"/>
      <c r="U51"/>
      <c r="V51"/>
      <c r="W51"/>
    </row>
    <row r="52" spans="1:23" ht="15" customHeight="1">
      <c r="A52"/>
      <c r="B52"/>
      <c r="C52"/>
      <c r="D52"/>
      <c r="E52"/>
      <c r="F52"/>
      <c r="G52"/>
      <c r="H52"/>
      <c r="I52"/>
      <c r="J52"/>
      <c r="K52"/>
      <c r="L52"/>
      <c r="M52"/>
      <c r="N52"/>
      <c r="O52"/>
      <c r="P52"/>
      <c r="Q52"/>
      <c r="R52"/>
      <c r="S52"/>
      <c r="T52"/>
      <c r="U52"/>
      <c r="V52"/>
      <c r="W52"/>
    </row>
    <row r="53" spans="1:23" ht="15" customHeight="1">
      <c r="A53"/>
      <c r="B53"/>
      <c r="C53"/>
      <c r="D53"/>
      <c r="E53"/>
      <c r="F53"/>
      <c r="G53"/>
      <c r="H53"/>
      <c r="I53"/>
      <c r="J53"/>
      <c r="K53"/>
      <c r="L53"/>
      <c r="M53"/>
      <c r="N53"/>
      <c r="O53"/>
      <c r="P53"/>
      <c r="Q53"/>
      <c r="R53"/>
      <c r="S53"/>
      <c r="T53"/>
      <c r="U53"/>
      <c r="V53"/>
      <c r="W53"/>
    </row>
    <row r="54" spans="1:23" ht="15" customHeight="1">
      <c r="A54"/>
      <c r="B54"/>
      <c r="C54"/>
      <c r="D54"/>
      <c r="E54"/>
      <c r="F54"/>
      <c r="G54"/>
      <c r="H54"/>
      <c r="I54"/>
      <c r="J54"/>
      <c r="K54"/>
      <c r="L54"/>
      <c r="M54"/>
      <c r="N54"/>
      <c r="O54"/>
      <c r="P54"/>
      <c r="Q54"/>
      <c r="R54"/>
      <c r="S54"/>
      <c r="T54"/>
      <c r="U54"/>
      <c r="V54"/>
      <c r="W54"/>
    </row>
    <row r="55" spans="1:23" ht="15" customHeight="1">
      <c r="A55"/>
      <c r="B55"/>
      <c r="C55"/>
      <c r="D55"/>
      <c r="E55"/>
      <c r="F55"/>
      <c r="G55"/>
      <c r="H55"/>
      <c r="I55"/>
      <c r="J55"/>
      <c r="K55"/>
      <c r="L55"/>
      <c r="M55"/>
      <c r="N55"/>
      <c r="O55"/>
      <c r="P55"/>
      <c r="Q55"/>
      <c r="R55"/>
      <c r="S55"/>
      <c r="T55"/>
      <c r="U55"/>
      <c r="V55"/>
      <c r="W55"/>
    </row>
    <row r="56" spans="1:23" ht="15" customHeight="1">
      <c r="A56"/>
      <c r="B56"/>
      <c r="C56"/>
      <c r="D56"/>
      <c r="E56"/>
      <c r="F56"/>
      <c r="G56"/>
      <c r="H56"/>
      <c r="I56"/>
      <c r="J56"/>
      <c r="K56"/>
      <c r="L56"/>
      <c r="M56"/>
      <c r="N56"/>
      <c r="O56"/>
      <c r="P56"/>
      <c r="Q56"/>
      <c r="R56"/>
      <c r="S56"/>
      <c r="T56"/>
      <c r="U56"/>
      <c r="V56"/>
      <c r="W56"/>
    </row>
    <row r="57" spans="1:23" ht="15" customHeight="1">
      <c r="A57"/>
      <c r="B57"/>
      <c r="C57"/>
      <c r="D57"/>
      <c r="E57"/>
      <c r="F57"/>
      <c r="G57"/>
      <c r="H57"/>
      <c r="I57"/>
      <c r="J57"/>
      <c r="K57"/>
      <c r="L57"/>
      <c r="M57"/>
      <c r="N57"/>
      <c r="O57"/>
      <c r="P57"/>
      <c r="Q57"/>
      <c r="R57"/>
      <c r="S57"/>
      <c r="T57"/>
      <c r="U57"/>
      <c r="V57"/>
      <c r="W57"/>
    </row>
    <row r="58" spans="1:23" ht="15" customHeight="1">
      <c r="A58"/>
      <c r="B58"/>
      <c r="C58"/>
      <c r="D58"/>
      <c r="E58"/>
      <c r="F58"/>
      <c r="G58"/>
      <c r="H58"/>
      <c r="I58"/>
      <c r="J58"/>
      <c r="K58"/>
      <c r="L58"/>
      <c r="M58"/>
      <c r="N58"/>
      <c r="O58"/>
      <c r="P58"/>
      <c r="Q58"/>
      <c r="R58"/>
      <c r="S58"/>
      <c r="T58"/>
      <c r="U58"/>
      <c r="V58"/>
      <c r="W58"/>
    </row>
    <row r="59" spans="1:23" ht="15" customHeight="1">
      <c r="A59"/>
      <c r="B59"/>
      <c r="C59"/>
      <c r="D59"/>
      <c r="E59"/>
      <c r="F59"/>
      <c r="G59"/>
      <c r="H59"/>
      <c r="I59"/>
      <c r="J59"/>
      <c r="K59"/>
      <c r="L59"/>
      <c r="M59"/>
      <c r="N59"/>
      <c r="O59"/>
      <c r="P59"/>
      <c r="Q59"/>
      <c r="R59"/>
      <c r="S59"/>
      <c r="T59"/>
      <c r="U59"/>
      <c r="V59"/>
      <c r="W59"/>
    </row>
    <row r="60" spans="1:23" ht="15" customHeight="1">
      <c r="A60"/>
      <c r="B60"/>
      <c r="C60"/>
      <c r="D60"/>
      <c r="E60"/>
      <c r="F60"/>
      <c r="G60"/>
      <c r="H60"/>
      <c r="I60"/>
      <c r="J60"/>
      <c r="K60"/>
      <c r="L60"/>
      <c r="M60"/>
      <c r="N60"/>
      <c r="O60"/>
      <c r="P60"/>
      <c r="Q60"/>
      <c r="R60"/>
      <c r="S60"/>
      <c r="T60"/>
      <c r="U60"/>
      <c r="V60"/>
      <c r="W60"/>
    </row>
    <row r="61" spans="1:23" ht="15" customHeight="1">
      <c r="A61"/>
      <c r="B61"/>
      <c r="C61"/>
      <c r="D61"/>
      <c r="E61"/>
      <c r="F61"/>
      <c r="G61"/>
      <c r="H61"/>
      <c r="I61"/>
      <c r="J61"/>
      <c r="K61"/>
      <c r="L61"/>
      <c r="M61"/>
      <c r="N61"/>
      <c r="O61"/>
      <c r="P61"/>
      <c r="Q61"/>
      <c r="R61"/>
      <c r="S61"/>
      <c r="T61"/>
      <c r="U61"/>
      <c r="V61"/>
      <c r="W61"/>
    </row>
    <row r="62" spans="1:23" ht="15" customHeight="1">
      <c r="A62"/>
      <c r="B62"/>
      <c r="C62"/>
      <c r="D62"/>
      <c r="E62"/>
      <c r="F62"/>
      <c r="G62"/>
      <c r="H62"/>
      <c r="I62"/>
      <c r="J62"/>
      <c r="K62"/>
      <c r="L62"/>
      <c r="M62"/>
      <c r="N62"/>
      <c r="O62"/>
      <c r="P62"/>
      <c r="Q62"/>
      <c r="R62"/>
      <c r="S62"/>
      <c r="T62"/>
      <c r="U62"/>
      <c r="V62"/>
      <c r="W62"/>
    </row>
    <row r="63" spans="1:23" ht="15" customHeight="1">
      <c r="A63"/>
      <c r="B63"/>
      <c r="C63"/>
      <c r="D63"/>
      <c r="E63"/>
      <c r="F63"/>
      <c r="G63"/>
      <c r="H63"/>
      <c r="I63"/>
      <c r="J63"/>
      <c r="K63"/>
      <c r="L63"/>
      <c r="M63"/>
      <c r="N63"/>
      <c r="O63"/>
      <c r="P63"/>
      <c r="Q63"/>
      <c r="R63"/>
      <c r="S63"/>
      <c r="T63"/>
      <c r="U63"/>
      <c r="V63"/>
      <c r="W63"/>
    </row>
    <row r="64" spans="1:23" ht="15" customHeight="1">
      <c r="A64"/>
      <c r="B64"/>
      <c r="C64"/>
      <c r="D64"/>
      <c r="E64"/>
      <c r="F64"/>
      <c r="G64"/>
      <c r="H64"/>
      <c r="I64"/>
      <c r="J64"/>
      <c r="K64"/>
      <c r="L64"/>
      <c r="M64"/>
      <c r="N64"/>
      <c r="O64"/>
      <c r="P64"/>
      <c r="Q64"/>
      <c r="R64"/>
      <c r="S64"/>
      <c r="T64"/>
      <c r="U64"/>
      <c r="V64"/>
      <c r="W64"/>
    </row>
    <row r="65" spans="1:23" ht="15" customHeight="1">
      <c r="A65"/>
      <c r="B65"/>
      <c r="C65"/>
      <c r="D65"/>
      <c r="E65"/>
      <c r="F65"/>
      <c r="G65"/>
      <c r="H65"/>
      <c r="I65"/>
      <c r="J65"/>
      <c r="K65"/>
      <c r="L65"/>
      <c r="M65"/>
      <c r="N65"/>
      <c r="O65"/>
      <c r="P65"/>
      <c r="Q65"/>
      <c r="R65"/>
      <c r="S65"/>
      <c r="T65"/>
      <c r="U65"/>
      <c r="V65"/>
      <c r="W65"/>
    </row>
    <row r="66" spans="1:23" ht="15" customHeight="1">
      <c r="A66"/>
      <c r="B66"/>
      <c r="C66"/>
      <c r="D66"/>
      <c r="E66"/>
      <c r="F66"/>
      <c r="G66"/>
      <c r="H66"/>
      <c r="I66"/>
      <c r="J66"/>
      <c r="K66"/>
      <c r="L66"/>
      <c r="M66"/>
      <c r="N66"/>
      <c r="O66"/>
      <c r="P66"/>
      <c r="Q66"/>
      <c r="R66"/>
      <c r="S66"/>
      <c r="T66"/>
      <c r="U66"/>
      <c r="V66"/>
      <c r="W66"/>
    </row>
    <row r="67" spans="1:23" ht="15" customHeight="1">
      <c r="A67"/>
      <c r="B67"/>
      <c r="C67"/>
      <c r="D67"/>
      <c r="E67"/>
      <c r="F67"/>
      <c r="G67"/>
      <c r="H67"/>
      <c r="I67"/>
      <c r="J67"/>
      <c r="K67"/>
      <c r="L67"/>
      <c r="M67"/>
      <c r="N67"/>
      <c r="O67"/>
      <c r="P67"/>
      <c r="Q67"/>
      <c r="R67"/>
      <c r="S67"/>
      <c r="T67"/>
      <c r="U67"/>
      <c r="V67"/>
      <c r="W67"/>
    </row>
    <row r="68" spans="1:23" ht="15" customHeight="1">
      <c r="A68"/>
      <c r="B68"/>
      <c r="C68"/>
      <c r="D68"/>
      <c r="E68"/>
      <c r="F68"/>
      <c r="G68"/>
      <c r="H68"/>
      <c r="I68"/>
      <c r="J68"/>
      <c r="K68"/>
      <c r="L68"/>
      <c r="M68"/>
      <c r="N68"/>
      <c r="O68"/>
      <c r="P68"/>
      <c r="Q68"/>
      <c r="R68"/>
      <c r="S68"/>
      <c r="T68"/>
      <c r="U68"/>
      <c r="V68"/>
      <c r="W68"/>
    </row>
    <row r="69" spans="1:23" ht="15" customHeight="1">
      <c r="A69"/>
      <c r="B69"/>
      <c r="C69"/>
      <c r="D69"/>
      <c r="E69"/>
      <c r="F69"/>
      <c r="G69"/>
      <c r="H69"/>
      <c r="I69"/>
      <c r="J69"/>
      <c r="K69"/>
      <c r="L69"/>
      <c r="M69"/>
      <c r="N69"/>
      <c r="O69"/>
      <c r="P69"/>
      <c r="Q69"/>
      <c r="R69"/>
      <c r="S69"/>
      <c r="T69"/>
      <c r="U69"/>
      <c r="V69"/>
      <c r="W69"/>
    </row>
    <row r="70" spans="1:23" ht="15" customHeight="1">
      <c r="A70"/>
      <c r="B70"/>
      <c r="C70"/>
      <c r="D70"/>
      <c r="E70"/>
      <c r="F70"/>
      <c r="G70"/>
      <c r="H70"/>
      <c r="I70"/>
      <c r="J70"/>
      <c r="K70"/>
      <c r="L70"/>
      <c r="M70"/>
      <c r="N70"/>
      <c r="O70"/>
      <c r="P70"/>
      <c r="Q70"/>
      <c r="R70"/>
      <c r="S70"/>
      <c r="T70"/>
      <c r="U70"/>
      <c r="V70"/>
      <c r="W70"/>
    </row>
    <row r="71" spans="1:23" ht="15" customHeight="1">
      <c r="A71"/>
      <c r="B71"/>
      <c r="C71"/>
      <c r="D71"/>
      <c r="E71"/>
      <c r="F71"/>
      <c r="G71"/>
      <c r="H71"/>
      <c r="I71"/>
      <c r="J71"/>
      <c r="K71"/>
      <c r="L71"/>
      <c r="M71"/>
      <c r="N71"/>
      <c r="O71"/>
      <c r="P71"/>
      <c r="Q71"/>
      <c r="R71"/>
      <c r="S71"/>
      <c r="T71"/>
      <c r="U71"/>
      <c r="V71"/>
      <c r="W71"/>
    </row>
    <row r="72" spans="1:23" ht="15" customHeight="1">
      <c r="A72"/>
      <c r="B72"/>
      <c r="C72"/>
      <c r="D72"/>
      <c r="E72"/>
      <c r="F72"/>
      <c r="G72"/>
      <c r="H72"/>
      <c r="I72"/>
      <c r="J72"/>
      <c r="K72"/>
      <c r="L72"/>
      <c r="M72"/>
      <c r="N72"/>
      <c r="O72"/>
      <c r="P72"/>
      <c r="Q72"/>
      <c r="R72"/>
      <c r="S72"/>
      <c r="T72"/>
      <c r="U72"/>
      <c r="V72"/>
      <c r="W72"/>
    </row>
    <row r="73" spans="1:23" ht="15" customHeight="1">
      <c r="A73"/>
      <c r="B73"/>
      <c r="C73"/>
      <c r="D73"/>
      <c r="E73"/>
      <c r="F73"/>
      <c r="G73"/>
      <c r="H73"/>
      <c r="I73"/>
      <c r="J73"/>
      <c r="K73"/>
      <c r="L73"/>
      <c r="M73"/>
      <c r="N73"/>
      <c r="O73"/>
      <c r="P73"/>
      <c r="Q73"/>
      <c r="R73"/>
      <c r="S73"/>
      <c r="T73"/>
      <c r="U73"/>
      <c r="V73"/>
      <c r="W73"/>
    </row>
    <row r="74" spans="1:23" ht="15" customHeight="1">
      <c r="A74"/>
      <c r="B74"/>
      <c r="C74"/>
      <c r="D74"/>
      <c r="E74"/>
      <c r="F74"/>
      <c r="G74"/>
      <c r="H74"/>
      <c r="I74"/>
      <c r="J74"/>
      <c r="K74"/>
      <c r="L74"/>
      <c r="M74"/>
      <c r="N74"/>
      <c r="O74"/>
      <c r="P74"/>
      <c r="Q74"/>
      <c r="R74"/>
      <c r="S74"/>
      <c r="T74"/>
      <c r="U74"/>
      <c r="V74"/>
      <c r="W74"/>
    </row>
    <row r="75" spans="1:23" ht="15" customHeight="1">
      <c r="A75"/>
      <c r="B75"/>
      <c r="C75"/>
      <c r="D75"/>
      <c r="E75"/>
      <c r="F75"/>
      <c r="G75"/>
      <c r="H75"/>
      <c r="I75"/>
      <c r="J75"/>
      <c r="K75"/>
      <c r="L75"/>
      <c r="M75"/>
      <c r="N75"/>
      <c r="O75"/>
      <c r="P75"/>
      <c r="Q75"/>
      <c r="R75"/>
      <c r="S75"/>
      <c r="T75"/>
      <c r="U75"/>
      <c r="V75"/>
      <c r="W75"/>
    </row>
    <row r="76" spans="1:23" ht="15" customHeight="1">
      <c r="A76"/>
      <c r="B76"/>
      <c r="C76"/>
      <c r="D76"/>
      <c r="E76"/>
      <c r="F76"/>
      <c r="G76"/>
      <c r="H76"/>
      <c r="I76"/>
      <c r="J76"/>
      <c r="K76"/>
      <c r="L76"/>
      <c r="M76"/>
      <c r="N76"/>
      <c r="O76"/>
      <c r="P76"/>
      <c r="Q76"/>
      <c r="R76"/>
      <c r="S76"/>
      <c r="T76"/>
      <c r="U76"/>
      <c r="V76"/>
      <c r="W76"/>
    </row>
    <row r="77" spans="1:23" ht="15" customHeight="1">
      <c r="A77"/>
      <c r="B77"/>
      <c r="C77"/>
      <c r="D77"/>
      <c r="E77"/>
      <c r="F77"/>
      <c r="G77"/>
      <c r="H77"/>
      <c r="I77"/>
      <c r="J77"/>
      <c r="K77"/>
      <c r="L77"/>
      <c r="M77"/>
      <c r="N77"/>
      <c r="O77"/>
      <c r="P77"/>
      <c r="Q77"/>
      <c r="R77"/>
      <c r="S77"/>
      <c r="T77"/>
      <c r="U77"/>
      <c r="V77"/>
      <c r="W77"/>
    </row>
    <row r="78" spans="1:23" ht="15" customHeight="1">
      <c r="A78"/>
      <c r="B78"/>
      <c r="C78"/>
      <c r="D78"/>
      <c r="E78"/>
      <c r="F78"/>
      <c r="G78"/>
      <c r="H78"/>
      <c r="I78"/>
      <c r="J78"/>
      <c r="K78"/>
      <c r="L78"/>
      <c r="M78"/>
      <c r="N78"/>
      <c r="O78"/>
      <c r="P78"/>
      <c r="Q78"/>
      <c r="R78"/>
      <c r="S78"/>
      <c r="T78"/>
      <c r="U78"/>
      <c r="V78"/>
      <c r="W78"/>
    </row>
    <row r="79" spans="1:23" ht="15" customHeight="1">
      <c r="A79"/>
      <c r="B79"/>
      <c r="C79"/>
      <c r="D79"/>
      <c r="E79"/>
      <c r="F79"/>
      <c r="G79"/>
      <c r="H79"/>
      <c r="I79"/>
      <c r="J79"/>
      <c r="K79"/>
      <c r="L79"/>
      <c r="M79"/>
      <c r="N79"/>
      <c r="O79"/>
      <c r="P79"/>
      <c r="Q79"/>
      <c r="R79"/>
      <c r="S79"/>
      <c r="T79"/>
      <c r="U79"/>
      <c r="V79"/>
      <c r="W79"/>
    </row>
    <row r="80" spans="1:23" ht="15" customHeight="1">
      <c r="A80"/>
      <c r="B80"/>
      <c r="C80"/>
      <c r="D80"/>
      <c r="E80"/>
      <c r="F80"/>
      <c r="G80"/>
      <c r="H80"/>
      <c r="I80"/>
      <c r="J80"/>
      <c r="K80"/>
      <c r="L80"/>
      <c r="M80"/>
      <c r="N80"/>
      <c r="O80"/>
      <c r="P80"/>
      <c r="Q80"/>
      <c r="R80"/>
      <c r="S80"/>
      <c r="T80"/>
      <c r="U80"/>
      <c r="V80"/>
      <c r="W80"/>
    </row>
    <row r="81" spans="1:23" ht="15" customHeight="1">
      <c r="A81"/>
      <c r="B81"/>
      <c r="C81"/>
      <c r="D81"/>
      <c r="E81"/>
      <c r="F81"/>
      <c r="G81"/>
      <c r="H81"/>
      <c r="I81"/>
      <c r="J81"/>
      <c r="K81"/>
      <c r="L81"/>
      <c r="M81"/>
      <c r="N81"/>
      <c r="O81"/>
      <c r="P81"/>
      <c r="Q81"/>
      <c r="R81"/>
      <c r="S81"/>
      <c r="T81"/>
      <c r="U81"/>
      <c r="V81"/>
      <c r="W81"/>
    </row>
    <row r="82" spans="1:23" ht="15" customHeight="1">
      <c r="A82"/>
      <c r="B82"/>
      <c r="C82"/>
      <c r="D82"/>
      <c r="E82"/>
      <c r="F82"/>
      <c r="G82"/>
      <c r="H82"/>
      <c r="I82"/>
      <c r="J82"/>
      <c r="K82"/>
      <c r="L82"/>
      <c r="M82"/>
      <c r="N82"/>
      <c r="O82"/>
      <c r="P82"/>
      <c r="Q82"/>
      <c r="R82"/>
      <c r="S82"/>
      <c r="T82"/>
      <c r="U82"/>
      <c r="V82"/>
      <c r="W82"/>
    </row>
    <row r="83" spans="1:23" ht="15" customHeight="1">
      <c r="A83"/>
      <c r="B83"/>
      <c r="C83"/>
      <c r="D83"/>
      <c r="E83"/>
      <c r="F83"/>
      <c r="G83"/>
      <c r="H83"/>
      <c r="I83"/>
      <c r="J83"/>
      <c r="K83"/>
      <c r="L83"/>
      <c r="M83"/>
      <c r="N83"/>
      <c r="O83"/>
      <c r="P83"/>
      <c r="Q83"/>
      <c r="R83"/>
      <c r="S83"/>
      <c r="T83"/>
      <c r="U83"/>
      <c r="V83"/>
      <c r="W83"/>
    </row>
    <row r="84" spans="1:23" ht="15" customHeight="1">
      <c r="A84"/>
      <c r="B84"/>
      <c r="C84"/>
      <c r="D84"/>
      <c r="E84"/>
      <c r="F84"/>
      <c r="G84"/>
      <c r="H84"/>
      <c r="I84"/>
      <c r="J84"/>
      <c r="K84"/>
      <c r="L84"/>
      <c r="M84"/>
      <c r="N84"/>
      <c r="O84"/>
      <c r="P84"/>
      <c r="Q84"/>
      <c r="R84"/>
      <c r="S84"/>
      <c r="T84"/>
      <c r="U84"/>
      <c r="V84"/>
      <c r="W84"/>
    </row>
    <row r="85" spans="1:23" ht="15" customHeight="1">
      <c r="A85"/>
      <c r="B85"/>
      <c r="C85"/>
      <c r="D85"/>
      <c r="E85"/>
      <c r="F85"/>
      <c r="G85"/>
      <c r="H85"/>
      <c r="I85"/>
      <c r="J85"/>
      <c r="K85"/>
      <c r="L85"/>
      <c r="M85"/>
      <c r="N85"/>
      <c r="O85"/>
      <c r="P85"/>
      <c r="Q85"/>
      <c r="R85"/>
      <c r="S85"/>
      <c r="T85"/>
      <c r="U85"/>
      <c r="V85"/>
      <c r="W85"/>
    </row>
    <row r="86" spans="1:23" ht="15" customHeight="1">
      <c r="A86"/>
      <c r="B86"/>
      <c r="C86"/>
      <c r="D86"/>
      <c r="E86"/>
      <c r="F86"/>
      <c r="G86"/>
      <c r="H86"/>
      <c r="I86"/>
      <c r="J86"/>
      <c r="K86"/>
      <c r="L86"/>
      <c r="M86"/>
      <c r="N86"/>
      <c r="O86"/>
      <c r="P86"/>
      <c r="Q86"/>
      <c r="R86"/>
      <c r="S86"/>
      <c r="T86"/>
      <c r="U86"/>
      <c r="V86"/>
      <c r="W86"/>
    </row>
    <row r="87" spans="1:23" ht="15" customHeight="1">
      <c r="A87"/>
      <c r="B87"/>
      <c r="C87"/>
      <c r="D87"/>
      <c r="E87"/>
      <c r="F87"/>
      <c r="G87"/>
      <c r="H87"/>
      <c r="I87"/>
      <c r="J87"/>
      <c r="K87"/>
      <c r="L87"/>
      <c r="M87"/>
      <c r="N87"/>
      <c r="O87"/>
      <c r="P87"/>
      <c r="Q87"/>
      <c r="R87"/>
      <c r="S87"/>
      <c r="T87"/>
      <c r="U87"/>
      <c r="V87"/>
      <c r="W87"/>
    </row>
    <row r="88" spans="1:23" ht="15" customHeight="1">
      <c r="A88"/>
      <c r="B88"/>
      <c r="C88"/>
      <c r="D88"/>
      <c r="E88"/>
      <c r="F88"/>
      <c r="G88"/>
      <c r="H88"/>
      <c r="I88"/>
      <c r="J88"/>
      <c r="K88"/>
      <c r="L88"/>
      <c r="M88"/>
      <c r="N88"/>
      <c r="O88"/>
      <c r="P88"/>
      <c r="Q88"/>
      <c r="R88"/>
      <c r="S88"/>
      <c r="T88"/>
      <c r="U88"/>
      <c r="V88"/>
      <c r="W88"/>
    </row>
    <row r="89" spans="1:23" ht="15" customHeight="1">
      <c r="A89"/>
      <c r="B89"/>
      <c r="C89"/>
      <c r="D89"/>
      <c r="E89"/>
      <c r="F89"/>
      <c r="G89"/>
      <c r="H89"/>
      <c r="I89"/>
      <c r="J89"/>
      <c r="K89"/>
      <c r="L89"/>
      <c r="M89"/>
      <c r="N89"/>
      <c r="O89"/>
      <c r="P89"/>
      <c r="Q89"/>
      <c r="R89"/>
      <c r="S89"/>
      <c r="T89"/>
      <c r="U89"/>
      <c r="V89"/>
      <c r="W89"/>
    </row>
    <row r="90" spans="1:23" ht="15" customHeight="1">
      <c r="A90"/>
      <c r="B90"/>
      <c r="C90"/>
      <c r="D90"/>
      <c r="E90"/>
      <c r="F90"/>
      <c r="G90"/>
      <c r="H90"/>
      <c r="I90"/>
      <c r="J90"/>
      <c r="K90"/>
      <c r="L90"/>
      <c r="M90"/>
      <c r="N90"/>
      <c r="O90"/>
      <c r="P90"/>
      <c r="Q90"/>
      <c r="R90"/>
      <c r="S90"/>
      <c r="T90"/>
      <c r="U90"/>
      <c r="V90"/>
      <c r="W90"/>
    </row>
    <row r="91" spans="1:23" ht="15" customHeight="1">
      <c r="A91"/>
      <c r="B91"/>
      <c r="C91"/>
      <c r="D91"/>
      <c r="E91"/>
      <c r="F91"/>
      <c r="G91"/>
      <c r="H91"/>
      <c r="I91"/>
      <c r="J91"/>
      <c r="K91"/>
      <c r="L91"/>
      <c r="M91"/>
      <c r="N91"/>
      <c r="O91"/>
      <c r="P91"/>
      <c r="Q91"/>
      <c r="R91"/>
      <c r="S91"/>
      <c r="T91"/>
      <c r="U91"/>
      <c r="V91"/>
      <c r="W91"/>
    </row>
    <row r="92" spans="1:23" ht="15" customHeight="1">
      <c r="A92"/>
      <c r="B92"/>
      <c r="C92"/>
      <c r="D92"/>
      <c r="E92"/>
      <c r="F92"/>
      <c r="G92"/>
      <c r="H92"/>
      <c r="I92"/>
      <c r="J92"/>
      <c r="K92"/>
      <c r="L92"/>
      <c r="M92"/>
      <c r="N92"/>
      <c r="O92"/>
      <c r="P92"/>
      <c r="Q92"/>
      <c r="R92"/>
      <c r="S92"/>
      <c r="T92"/>
      <c r="U92"/>
      <c r="V92"/>
      <c r="W92"/>
    </row>
    <row r="93" spans="1:23" ht="15" customHeight="1">
      <c r="A93"/>
      <c r="B93"/>
      <c r="C93"/>
      <c r="D93"/>
      <c r="E93"/>
      <c r="F93"/>
      <c r="G93"/>
      <c r="H93"/>
      <c r="I93"/>
      <c r="J93"/>
      <c r="K93"/>
      <c r="L93"/>
      <c r="M93"/>
      <c r="N93"/>
      <c r="O93"/>
      <c r="P93"/>
      <c r="Q93"/>
      <c r="R93"/>
      <c r="S93"/>
      <c r="T93"/>
      <c r="U93"/>
      <c r="V93"/>
      <c r="W93"/>
    </row>
    <row r="94" spans="1:23" ht="15" customHeight="1">
      <c r="A94"/>
      <c r="B94"/>
      <c r="C94"/>
      <c r="D94"/>
      <c r="E94"/>
      <c r="F94"/>
      <c r="G94"/>
      <c r="H94"/>
      <c r="I94"/>
      <c r="J94"/>
      <c r="K94"/>
      <c r="L94"/>
      <c r="M94"/>
      <c r="N94"/>
      <c r="O94"/>
      <c r="P94"/>
      <c r="Q94"/>
      <c r="R94"/>
      <c r="S94"/>
      <c r="T94"/>
      <c r="U94"/>
      <c r="V94"/>
      <c r="W94"/>
    </row>
    <row r="95" spans="1:23" ht="15" customHeight="1">
      <c r="A95"/>
      <c r="B95"/>
      <c r="C95"/>
      <c r="D95"/>
      <c r="E95"/>
      <c r="F95"/>
      <c r="G95"/>
      <c r="H95"/>
      <c r="I95"/>
      <c r="J95"/>
      <c r="K95"/>
      <c r="L95"/>
      <c r="M95"/>
      <c r="N95"/>
      <c r="O95"/>
      <c r="P95"/>
      <c r="Q95"/>
      <c r="R95"/>
      <c r="S95"/>
      <c r="T95"/>
      <c r="U95"/>
      <c r="V95"/>
      <c r="W95"/>
    </row>
    <row r="96" spans="1:23" ht="15" customHeight="1">
      <c r="A96"/>
      <c r="B96"/>
      <c r="C96"/>
      <c r="D96"/>
      <c r="E96"/>
      <c r="F96"/>
      <c r="G96"/>
      <c r="H96"/>
      <c r="I96"/>
      <c r="J96"/>
      <c r="K96"/>
      <c r="L96"/>
      <c r="M96"/>
      <c r="N96"/>
      <c r="O96"/>
      <c r="P96"/>
      <c r="Q96"/>
      <c r="R96"/>
      <c r="S96"/>
      <c r="T96"/>
      <c r="U96"/>
      <c r="V96"/>
      <c r="W96"/>
    </row>
    <row r="97" spans="1:23" ht="15" customHeight="1">
      <c r="A97"/>
      <c r="B97"/>
      <c r="C97"/>
      <c r="D97"/>
      <c r="E97"/>
      <c r="F97"/>
      <c r="G97"/>
      <c r="H97"/>
      <c r="I97"/>
      <c r="J97"/>
      <c r="K97"/>
      <c r="L97"/>
      <c r="M97"/>
      <c r="N97"/>
      <c r="O97"/>
      <c r="P97"/>
      <c r="Q97"/>
      <c r="R97"/>
      <c r="S97"/>
      <c r="T97"/>
      <c r="U97"/>
      <c r="V97"/>
      <c r="W97"/>
    </row>
    <row r="98" spans="1:23" ht="15" customHeight="1">
      <c r="A98"/>
      <c r="B98"/>
      <c r="C98"/>
      <c r="D98"/>
      <c r="E98"/>
      <c r="F98"/>
      <c r="G98"/>
      <c r="H98"/>
      <c r="I98"/>
      <c r="J98"/>
      <c r="K98"/>
      <c r="L98"/>
      <c r="M98"/>
      <c r="N98"/>
      <c r="O98"/>
      <c r="P98"/>
      <c r="Q98"/>
      <c r="R98"/>
      <c r="S98"/>
      <c r="T98"/>
      <c r="U98"/>
      <c r="V98"/>
      <c r="W98"/>
    </row>
    <row r="99" spans="1:23" ht="15" customHeight="1">
      <c r="A99"/>
      <c r="B99"/>
      <c r="C99"/>
      <c r="D99"/>
      <c r="E99"/>
      <c r="F99"/>
      <c r="G99"/>
      <c r="H99"/>
      <c r="I99"/>
      <c r="J99"/>
      <c r="K99"/>
      <c r="L99"/>
      <c r="M99"/>
      <c r="N99"/>
      <c r="O99"/>
      <c r="P99"/>
      <c r="Q99"/>
      <c r="R99"/>
      <c r="S99"/>
      <c r="T99"/>
      <c r="U99"/>
      <c r="V99"/>
      <c r="W99"/>
    </row>
    <row r="100" spans="1:23" ht="15" customHeight="1">
      <c r="A100"/>
      <c r="B100"/>
      <c r="C100"/>
      <c r="D100"/>
      <c r="E100"/>
      <c r="F100"/>
      <c r="G100"/>
      <c r="H100"/>
      <c r="I100"/>
      <c r="J100"/>
      <c r="K100"/>
      <c r="L100"/>
      <c r="M100"/>
      <c r="N100"/>
      <c r="O100"/>
      <c r="P100"/>
      <c r="Q100"/>
      <c r="R100"/>
      <c r="S100"/>
      <c r="T100"/>
      <c r="U100"/>
      <c r="V100"/>
      <c r="W100"/>
    </row>
    <row r="101" spans="1:23" ht="15" customHeight="1">
      <c r="A101"/>
      <c r="B101"/>
      <c r="C101"/>
      <c r="D101"/>
      <c r="E101"/>
      <c r="F101"/>
      <c r="G101"/>
      <c r="H101"/>
      <c r="I101"/>
      <c r="J101"/>
      <c r="K101"/>
      <c r="L101"/>
      <c r="M101"/>
      <c r="N101"/>
      <c r="O101"/>
      <c r="P101"/>
      <c r="Q101"/>
      <c r="R101"/>
      <c r="S101"/>
      <c r="T101"/>
      <c r="U101"/>
      <c r="V101"/>
      <c r="W101"/>
    </row>
    <row r="102" spans="1:23" ht="15" customHeight="1">
      <c r="A102"/>
      <c r="B102"/>
      <c r="C102"/>
      <c r="D102"/>
      <c r="E102"/>
      <c r="F102"/>
      <c r="G102"/>
      <c r="H102"/>
      <c r="I102"/>
      <c r="J102"/>
      <c r="K102"/>
      <c r="L102"/>
      <c r="M102"/>
      <c r="N102"/>
      <c r="O102"/>
      <c r="P102"/>
      <c r="Q102"/>
      <c r="R102"/>
      <c r="S102"/>
      <c r="T102"/>
      <c r="U102"/>
      <c r="V102"/>
      <c r="W102"/>
    </row>
    <row r="103" spans="1:23" ht="15" customHeight="1">
      <c r="A103"/>
      <c r="B103"/>
      <c r="C103"/>
      <c r="D103"/>
      <c r="E103"/>
      <c r="F103"/>
      <c r="G103"/>
      <c r="H103"/>
      <c r="I103"/>
      <c r="J103"/>
      <c r="K103"/>
      <c r="L103"/>
      <c r="M103"/>
      <c r="N103"/>
      <c r="O103"/>
      <c r="P103"/>
      <c r="Q103"/>
      <c r="R103"/>
      <c r="S103"/>
      <c r="T103"/>
      <c r="U103"/>
      <c r="V103"/>
      <c r="W103"/>
    </row>
    <row r="104" spans="1:23" ht="15" customHeight="1">
      <c r="A104"/>
      <c r="B104"/>
      <c r="C104"/>
      <c r="D104"/>
      <c r="E104"/>
      <c r="F104"/>
      <c r="G104"/>
      <c r="H104"/>
      <c r="I104"/>
      <c r="J104"/>
      <c r="K104"/>
      <c r="L104"/>
      <c r="M104"/>
      <c r="N104"/>
      <c r="O104"/>
      <c r="P104"/>
      <c r="Q104"/>
      <c r="R104"/>
      <c r="S104"/>
      <c r="T104"/>
      <c r="U104"/>
      <c r="V104"/>
      <c r="W104"/>
    </row>
    <row r="105" spans="1:23" ht="15" customHeight="1">
      <c r="A105"/>
      <c r="B105"/>
      <c r="C105"/>
      <c r="D105"/>
      <c r="E105"/>
      <c r="F105"/>
      <c r="G105"/>
      <c r="H105"/>
      <c r="I105"/>
      <c r="J105"/>
      <c r="K105"/>
      <c r="L105"/>
      <c r="M105"/>
      <c r="N105"/>
      <c r="O105"/>
      <c r="P105"/>
      <c r="Q105"/>
      <c r="R105"/>
      <c r="S105"/>
      <c r="T105"/>
      <c r="U105"/>
      <c r="V105"/>
      <c r="W105"/>
    </row>
    <row r="106" spans="1:23" ht="15" customHeight="1">
      <c r="A106"/>
      <c r="B106"/>
      <c r="C106"/>
      <c r="D106"/>
      <c r="E106"/>
      <c r="F106"/>
      <c r="G106"/>
      <c r="H106"/>
      <c r="I106"/>
      <c r="J106"/>
      <c r="K106"/>
      <c r="L106"/>
      <c r="M106"/>
      <c r="N106"/>
      <c r="O106"/>
      <c r="P106"/>
      <c r="Q106"/>
      <c r="R106"/>
      <c r="S106"/>
      <c r="T106"/>
      <c r="U106"/>
      <c r="V106"/>
      <c r="W106"/>
    </row>
    <row r="107" spans="1:23" ht="15" customHeight="1">
      <c r="A107"/>
      <c r="B107"/>
      <c r="C107"/>
      <c r="D107"/>
      <c r="E107"/>
      <c r="F107"/>
      <c r="G107"/>
      <c r="H107"/>
      <c r="I107"/>
      <c r="J107"/>
      <c r="K107"/>
      <c r="L107"/>
      <c r="M107"/>
      <c r="N107"/>
      <c r="O107"/>
      <c r="P107"/>
      <c r="Q107"/>
      <c r="R107"/>
      <c r="S107"/>
      <c r="T107"/>
      <c r="U107"/>
      <c r="V107"/>
      <c r="W107"/>
    </row>
    <row r="108" spans="1:23" ht="15" customHeight="1">
      <c r="A108"/>
      <c r="B108"/>
      <c r="C108"/>
      <c r="D108"/>
      <c r="E108"/>
      <c r="F108"/>
      <c r="G108"/>
      <c r="H108"/>
      <c r="I108"/>
      <c r="J108"/>
      <c r="K108"/>
      <c r="L108"/>
      <c r="M108"/>
      <c r="N108"/>
      <c r="O108"/>
      <c r="P108"/>
      <c r="Q108"/>
      <c r="R108"/>
      <c r="S108"/>
      <c r="T108"/>
      <c r="U108"/>
      <c r="V108"/>
      <c r="W108"/>
    </row>
    <row r="109" spans="1:23" ht="15" customHeight="1">
      <c r="A109"/>
      <c r="B109"/>
      <c r="C109"/>
      <c r="D109"/>
      <c r="E109"/>
      <c r="F109"/>
      <c r="G109"/>
      <c r="H109"/>
      <c r="I109"/>
      <c r="J109"/>
      <c r="K109"/>
      <c r="L109"/>
      <c r="M109"/>
      <c r="N109"/>
      <c r="O109"/>
      <c r="P109"/>
      <c r="Q109"/>
      <c r="R109"/>
      <c r="S109"/>
      <c r="T109"/>
      <c r="U109"/>
      <c r="V109"/>
      <c r="W109"/>
    </row>
    <row r="110" spans="1:23" ht="15" customHeight="1">
      <c r="A110"/>
      <c r="B110"/>
      <c r="C110"/>
      <c r="D110"/>
      <c r="E110"/>
      <c r="F110"/>
      <c r="G110"/>
      <c r="H110"/>
      <c r="I110"/>
      <c r="J110"/>
      <c r="K110"/>
      <c r="L110"/>
      <c r="M110"/>
      <c r="N110"/>
      <c r="O110"/>
      <c r="P110"/>
      <c r="Q110"/>
      <c r="R110"/>
      <c r="S110"/>
      <c r="T110"/>
      <c r="U110"/>
      <c r="V110"/>
      <c r="W110"/>
    </row>
    <row r="111" spans="1:23" ht="15" customHeight="1">
      <c r="A111"/>
      <c r="B111"/>
      <c r="C111"/>
      <c r="D111"/>
      <c r="E111"/>
      <c r="F111"/>
      <c r="G111"/>
      <c r="H111"/>
      <c r="I111"/>
      <c r="J111"/>
      <c r="K111"/>
      <c r="L111"/>
      <c r="M111"/>
      <c r="N111"/>
      <c r="O111"/>
      <c r="P111"/>
      <c r="Q111"/>
      <c r="R111"/>
      <c r="S111"/>
      <c r="T111"/>
      <c r="U111"/>
      <c r="V111"/>
      <c r="W111"/>
    </row>
    <row r="112" spans="1:23" ht="15" customHeight="1">
      <c r="A112"/>
      <c r="B112"/>
      <c r="C112"/>
      <c r="D112"/>
      <c r="E112"/>
      <c r="F112"/>
      <c r="G112"/>
      <c r="H112"/>
      <c r="I112"/>
      <c r="J112"/>
      <c r="K112"/>
      <c r="L112"/>
      <c r="M112"/>
      <c r="N112"/>
      <c r="O112"/>
      <c r="P112"/>
      <c r="Q112"/>
      <c r="R112"/>
      <c r="S112"/>
      <c r="T112"/>
      <c r="U112"/>
      <c r="V112"/>
      <c r="W112"/>
    </row>
    <row r="113" spans="1:23" ht="15" customHeight="1">
      <c r="A113"/>
      <c r="B113"/>
      <c r="C113"/>
      <c r="D113"/>
      <c r="E113"/>
      <c r="F113"/>
      <c r="G113"/>
      <c r="H113"/>
      <c r="I113"/>
      <c r="J113"/>
      <c r="K113"/>
      <c r="L113"/>
      <c r="M113"/>
      <c r="N113"/>
      <c r="O113"/>
      <c r="P113"/>
      <c r="Q113"/>
      <c r="R113"/>
      <c r="S113"/>
      <c r="T113"/>
      <c r="U113"/>
      <c r="V113"/>
      <c r="W113"/>
    </row>
    <row r="114" spans="1:23" ht="15" customHeight="1">
      <c r="A114"/>
      <c r="B114"/>
      <c r="C114"/>
      <c r="D114"/>
      <c r="E114"/>
      <c r="F114"/>
      <c r="G114"/>
      <c r="H114"/>
      <c r="I114"/>
      <c r="J114"/>
      <c r="K114"/>
      <c r="L114"/>
      <c r="M114"/>
      <c r="N114"/>
      <c r="O114"/>
      <c r="P114"/>
      <c r="Q114"/>
      <c r="R114"/>
      <c r="S114"/>
      <c r="T114"/>
      <c r="U114"/>
      <c r="V114"/>
      <c r="W114"/>
    </row>
    <row r="115" spans="1:23" ht="15" customHeight="1">
      <c r="A115"/>
      <c r="B115"/>
      <c r="C115"/>
      <c r="D115"/>
      <c r="E115"/>
      <c r="F115"/>
      <c r="G115"/>
      <c r="H115"/>
      <c r="I115"/>
      <c r="J115"/>
      <c r="K115"/>
      <c r="L115"/>
      <c r="M115"/>
      <c r="N115"/>
      <c r="O115"/>
      <c r="P115"/>
      <c r="Q115"/>
      <c r="R115"/>
      <c r="S115"/>
      <c r="T115"/>
      <c r="U115"/>
      <c r="V115"/>
      <c r="W115"/>
    </row>
    <row r="116" spans="1:23" ht="15" customHeight="1">
      <c r="A116"/>
      <c r="B116"/>
      <c r="C116"/>
      <c r="D116"/>
      <c r="E116"/>
      <c r="F116"/>
      <c r="G116"/>
      <c r="H116"/>
      <c r="I116"/>
      <c r="J116"/>
      <c r="K116"/>
      <c r="L116"/>
      <c r="M116"/>
      <c r="N116"/>
      <c r="O116"/>
      <c r="P116"/>
      <c r="Q116"/>
      <c r="R116"/>
      <c r="S116"/>
      <c r="T116"/>
      <c r="U116"/>
      <c r="V116"/>
      <c r="W116"/>
    </row>
    <row r="117" spans="1:23" ht="15" customHeight="1">
      <c r="A117"/>
      <c r="B117"/>
      <c r="C117"/>
      <c r="D117"/>
      <c r="E117"/>
      <c r="F117"/>
      <c r="G117"/>
      <c r="H117"/>
      <c r="I117"/>
      <c r="J117"/>
      <c r="K117"/>
      <c r="L117"/>
      <c r="M117"/>
      <c r="N117"/>
      <c r="O117"/>
      <c r="P117"/>
      <c r="Q117"/>
      <c r="R117"/>
      <c r="S117"/>
      <c r="T117"/>
      <c r="U117"/>
      <c r="V117"/>
      <c r="W117"/>
    </row>
    <row r="118" spans="1:23" ht="15" customHeight="1">
      <c r="A118"/>
      <c r="B118"/>
      <c r="C118"/>
      <c r="D118"/>
      <c r="E118"/>
      <c r="F118"/>
      <c r="G118"/>
      <c r="H118"/>
      <c r="I118"/>
      <c r="J118"/>
      <c r="K118"/>
      <c r="L118"/>
      <c r="M118"/>
      <c r="N118"/>
      <c r="O118"/>
      <c r="P118"/>
      <c r="Q118"/>
      <c r="R118"/>
      <c r="S118"/>
      <c r="T118"/>
      <c r="U118"/>
      <c r="V118"/>
      <c r="W118"/>
    </row>
    <row r="119" spans="1:23" ht="15" customHeight="1">
      <c r="A119"/>
      <c r="B119"/>
      <c r="C119"/>
      <c r="D119"/>
      <c r="E119"/>
      <c r="F119"/>
      <c r="G119"/>
      <c r="H119"/>
      <c r="I119"/>
      <c r="J119"/>
      <c r="K119"/>
      <c r="L119"/>
      <c r="M119"/>
      <c r="N119"/>
      <c r="O119"/>
      <c r="P119"/>
      <c r="Q119"/>
      <c r="R119"/>
      <c r="S119"/>
      <c r="T119"/>
      <c r="U119"/>
      <c r="V119"/>
      <c r="W119"/>
    </row>
    <row r="120" spans="1:23" ht="15" customHeight="1">
      <c r="A120"/>
      <c r="B120"/>
      <c r="C120"/>
      <c r="D120"/>
      <c r="E120"/>
      <c r="F120"/>
      <c r="G120"/>
      <c r="H120"/>
      <c r="I120"/>
      <c r="J120"/>
      <c r="K120"/>
      <c r="L120"/>
      <c r="M120"/>
      <c r="N120"/>
      <c r="O120"/>
      <c r="P120"/>
      <c r="Q120"/>
      <c r="R120"/>
      <c r="S120"/>
      <c r="T120"/>
      <c r="U120"/>
      <c r="V120"/>
      <c r="W120"/>
    </row>
    <row r="121" spans="1:23" ht="15" customHeight="1">
      <c r="A121"/>
      <c r="B121"/>
      <c r="C121"/>
      <c r="D121"/>
      <c r="E121"/>
      <c r="F121"/>
      <c r="G121"/>
      <c r="H121"/>
      <c r="I121"/>
      <c r="J121"/>
      <c r="K121"/>
      <c r="L121"/>
      <c r="M121"/>
      <c r="N121"/>
      <c r="O121"/>
      <c r="P121"/>
      <c r="Q121"/>
      <c r="R121"/>
      <c r="S121"/>
      <c r="T121"/>
      <c r="U121"/>
      <c r="V121"/>
      <c r="W121"/>
    </row>
    <row r="122" spans="1:23" ht="15" customHeight="1">
      <c r="A122"/>
      <c r="B122"/>
      <c r="C122"/>
      <c r="D122"/>
      <c r="E122"/>
      <c r="F122"/>
      <c r="G122"/>
      <c r="H122"/>
      <c r="I122"/>
      <c r="J122"/>
      <c r="K122"/>
      <c r="L122"/>
      <c r="M122"/>
      <c r="N122"/>
      <c r="O122"/>
      <c r="P122"/>
      <c r="Q122"/>
      <c r="R122"/>
      <c r="S122"/>
      <c r="T122"/>
      <c r="U122"/>
      <c r="V122"/>
      <c r="W122"/>
    </row>
    <row r="123" spans="1:23" ht="15" customHeight="1">
      <c r="A123"/>
      <c r="B123"/>
      <c r="C123"/>
      <c r="D123"/>
      <c r="E123"/>
      <c r="F123"/>
      <c r="G123"/>
      <c r="H123"/>
      <c r="I123"/>
      <c r="J123"/>
      <c r="K123"/>
      <c r="L123"/>
      <c r="M123"/>
      <c r="N123"/>
      <c r="O123"/>
      <c r="P123"/>
      <c r="Q123"/>
      <c r="R123"/>
      <c r="S123"/>
      <c r="T123"/>
      <c r="U123"/>
      <c r="V123"/>
      <c r="W123"/>
    </row>
    <row r="124" spans="1:23" ht="15" customHeight="1">
      <c r="A124"/>
      <c r="B124"/>
      <c r="C124"/>
      <c r="D124"/>
      <c r="E124"/>
      <c r="F124"/>
      <c r="G124"/>
      <c r="H124"/>
      <c r="I124"/>
      <c r="J124"/>
      <c r="K124"/>
      <c r="L124"/>
      <c r="M124"/>
      <c r="N124"/>
      <c r="O124"/>
      <c r="P124"/>
      <c r="Q124"/>
      <c r="R124"/>
      <c r="S124"/>
      <c r="T124"/>
      <c r="U124"/>
      <c r="V124"/>
      <c r="W124"/>
    </row>
    <row r="125" spans="1:23" ht="15" customHeight="1">
      <c r="A125"/>
      <c r="B125"/>
      <c r="C125"/>
      <c r="D125"/>
      <c r="E125"/>
      <c r="F125"/>
      <c r="G125"/>
      <c r="H125"/>
      <c r="I125"/>
      <c r="J125"/>
      <c r="K125"/>
      <c r="L125"/>
      <c r="M125"/>
      <c r="N125"/>
      <c r="O125"/>
      <c r="P125"/>
      <c r="Q125"/>
      <c r="R125"/>
      <c r="S125"/>
      <c r="T125"/>
      <c r="U125"/>
      <c r="V125"/>
      <c r="W125"/>
    </row>
    <row r="126" spans="1:23" ht="15" customHeight="1">
      <c r="A126"/>
      <c r="B126"/>
      <c r="C126"/>
      <c r="D126"/>
      <c r="E126"/>
      <c r="F126"/>
      <c r="G126"/>
      <c r="H126"/>
      <c r="I126"/>
      <c r="J126"/>
      <c r="K126"/>
      <c r="L126"/>
      <c r="M126"/>
      <c r="N126"/>
      <c r="O126"/>
      <c r="P126"/>
      <c r="Q126"/>
      <c r="R126"/>
      <c r="S126"/>
      <c r="T126"/>
      <c r="U126"/>
      <c r="V126"/>
      <c r="W126"/>
    </row>
    <row r="127" spans="1:23" ht="15" customHeight="1">
      <c r="A127"/>
      <c r="B127"/>
      <c r="C127"/>
      <c r="D127"/>
      <c r="E127"/>
      <c r="F127"/>
      <c r="G127"/>
      <c r="H127"/>
      <c r="I127"/>
      <c r="J127"/>
      <c r="K127"/>
      <c r="L127"/>
      <c r="M127"/>
      <c r="N127"/>
      <c r="O127"/>
      <c r="P127"/>
      <c r="Q127"/>
      <c r="R127"/>
      <c r="S127"/>
      <c r="T127"/>
      <c r="U127"/>
      <c r="V127"/>
      <c r="W127"/>
    </row>
    <row r="128" spans="1:23" ht="15" customHeight="1">
      <c r="A128"/>
      <c r="B128"/>
      <c r="C128"/>
      <c r="D128"/>
      <c r="E128"/>
      <c r="F128"/>
      <c r="G128"/>
      <c r="H128"/>
      <c r="I128"/>
      <c r="J128"/>
      <c r="K128"/>
      <c r="L128"/>
      <c r="M128"/>
      <c r="N128"/>
      <c r="O128"/>
      <c r="P128"/>
      <c r="Q128"/>
      <c r="R128"/>
      <c r="S128"/>
      <c r="T128"/>
      <c r="U128"/>
      <c r="V128"/>
      <c r="W128"/>
    </row>
    <row r="129" spans="1:23" ht="15" customHeight="1">
      <c r="A129"/>
      <c r="B129"/>
      <c r="C129"/>
      <c r="D129"/>
      <c r="E129"/>
      <c r="F129"/>
      <c r="G129"/>
      <c r="H129"/>
      <c r="I129"/>
      <c r="J129"/>
      <c r="K129"/>
      <c r="L129"/>
      <c r="M129"/>
      <c r="N129"/>
      <c r="O129"/>
      <c r="P129"/>
      <c r="Q129"/>
      <c r="R129"/>
      <c r="S129"/>
      <c r="T129"/>
      <c r="U129"/>
      <c r="V129"/>
      <c r="W129"/>
    </row>
    <row r="130" spans="1:23" ht="15" customHeight="1">
      <c r="A130"/>
      <c r="B130"/>
      <c r="C130"/>
      <c r="D130"/>
      <c r="E130"/>
      <c r="F130"/>
      <c r="G130"/>
      <c r="H130"/>
      <c r="I130"/>
      <c r="J130"/>
      <c r="K130"/>
      <c r="L130"/>
      <c r="M130"/>
      <c r="N130"/>
      <c r="O130"/>
      <c r="P130"/>
      <c r="Q130"/>
      <c r="R130"/>
      <c r="S130"/>
      <c r="T130"/>
      <c r="U130"/>
      <c r="V130"/>
      <c r="W130"/>
    </row>
    <row r="131" spans="1:23" ht="15" customHeight="1">
      <c r="A131"/>
      <c r="B131"/>
      <c r="C131"/>
      <c r="D131"/>
      <c r="E131"/>
      <c r="F131"/>
      <c r="G131"/>
      <c r="H131"/>
      <c r="I131"/>
      <c r="J131"/>
      <c r="K131"/>
      <c r="L131"/>
      <c r="M131"/>
      <c r="N131"/>
      <c r="O131"/>
      <c r="P131"/>
      <c r="Q131"/>
      <c r="R131"/>
      <c r="S131"/>
      <c r="T131"/>
      <c r="U131"/>
      <c r="V131"/>
      <c r="W131"/>
    </row>
    <row r="132" spans="1:23" ht="15" customHeight="1">
      <c r="A132"/>
      <c r="B132"/>
      <c r="C132"/>
      <c r="D132"/>
      <c r="E132"/>
      <c r="F132"/>
      <c r="G132"/>
      <c r="H132"/>
      <c r="I132"/>
      <c r="J132"/>
      <c r="K132"/>
      <c r="L132"/>
      <c r="M132"/>
      <c r="N132"/>
      <c r="O132"/>
      <c r="P132"/>
      <c r="Q132"/>
      <c r="R132"/>
      <c r="S132"/>
      <c r="T132"/>
      <c r="U132"/>
      <c r="V132"/>
      <c r="W132"/>
    </row>
    <row r="133" spans="1:23" ht="15" customHeight="1">
      <c r="A133"/>
      <c r="B133"/>
      <c r="C133"/>
      <c r="D133"/>
      <c r="E133"/>
      <c r="F133"/>
      <c r="G133"/>
      <c r="H133"/>
      <c r="I133"/>
      <c r="J133"/>
      <c r="K133"/>
      <c r="L133"/>
      <c r="M133"/>
      <c r="N133"/>
      <c r="O133"/>
      <c r="P133"/>
      <c r="Q133"/>
      <c r="R133"/>
      <c r="S133"/>
      <c r="T133"/>
      <c r="U133"/>
      <c r="V133"/>
      <c r="W133"/>
    </row>
    <row r="134" spans="1:23" ht="15" customHeight="1">
      <c r="A134"/>
      <c r="B134"/>
      <c r="C134"/>
      <c r="D134"/>
      <c r="E134"/>
      <c r="F134"/>
      <c r="G134"/>
      <c r="H134"/>
      <c r="I134"/>
      <c r="J134"/>
      <c r="K134"/>
      <c r="L134"/>
      <c r="M134"/>
      <c r="N134"/>
      <c r="O134"/>
      <c r="P134"/>
      <c r="Q134"/>
      <c r="R134"/>
      <c r="S134"/>
      <c r="T134"/>
      <c r="U134"/>
      <c r="V134"/>
      <c r="W134"/>
    </row>
    <row r="135" spans="1:23" ht="15" customHeight="1">
      <c r="A135"/>
      <c r="B135"/>
      <c r="C135"/>
      <c r="D135"/>
      <c r="E135"/>
      <c r="F135"/>
      <c r="G135"/>
      <c r="H135"/>
      <c r="I135"/>
      <c r="J135"/>
      <c r="K135"/>
      <c r="L135"/>
      <c r="M135"/>
      <c r="N135"/>
      <c r="O135"/>
      <c r="P135"/>
      <c r="Q135"/>
      <c r="R135"/>
      <c r="S135"/>
      <c r="T135"/>
      <c r="U135"/>
      <c r="V135"/>
      <c r="W135"/>
    </row>
    <row r="136" spans="1:23" ht="15" customHeight="1">
      <c r="A136"/>
      <c r="B136"/>
      <c r="C136"/>
      <c r="D136"/>
      <c r="E136"/>
      <c r="F136"/>
      <c r="G136"/>
      <c r="H136"/>
      <c r="I136"/>
      <c r="J136"/>
      <c r="K136"/>
      <c r="L136"/>
      <c r="M136"/>
      <c r="N136"/>
      <c r="O136"/>
      <c r="P136"/>
      <c r="Q136"/>
      <c r="R136"/>
      <c r="S136"/>
      <c r="T136"/>
      <c r="U136"/>
      <c r="V136"/>
      <c r="W136"/>
    </row>
    <row r="137" spans="1:23" ht="15" customHeight="1">
      <c r="A137"/>
      <c r="B137"/>
      <c r="C137"/>
      <c r="D137"/>
      <c r="E137"/>
      <c r="F137"/>
      <c r="G137"/>
      <c r="H137"/>
      <c r="I137"/>
      <c r="J137"/>
      <c r="K137"/>
      <c r="L137"/>
      <c r="M137"/>
      <c r="N137"/>
      <c r="O137"/>
      <c r="P137"/>
      <c r="Q137"/>
      <c r="R137"/>
      <c r="S137"/>
      <c r="T137"/>
      <c r="U137"/>
      <c r="V137"/>
      <c r="W137"/>
    </row>
    <row r="138" spans="1:23" ht="15" customHeight="1">
      <c r="A138"/>
      <c r="B138"/>
      <c r="C138"/>
      <c r="D138"/>
      <c r="E138"/>
      <c r="F138"/>
      <c r="G138"/>
      <c r="H138"/>
      <c r="I138"/>
      <c r="J138"/>
      <c r="K138"/>
      <c r="L138"/>
      <c r="M138"/>
      <c r="N138"/>
      <c r="O138"/>
      <c r="P138"/>
      <c r="Q138"/>
      <c r="R138"/>
      <c r="S138"/>
      <c r="T138"/>
      <c r="U138"/>
      <c r="V138"/>
      <c r="W138"/>
    </row>
    <row r="139" spans="1:23" ht="15" customHeight="1">
      <c r="A139"/>
      <c r="B139"/>
      <c r="C139"/>
      <c r="D139"/>
      <c r="E139"/>
      <c r="F139"/>
      <c r="G139"/>
      <c r="H139"/>
      <c r="I139"/>
      <c r="J139"/>
      <c r="K139"/>
      <c r="L139"/>
      <c r="M139"/>
      <c r="N139"/>
      <c r="O139"/>
      <c r="P139"/>
      <c r="Q139"/>
      <c r="R139"/>
      <c r="S139"/>
      <c r="T139"/>
      <c r="U139"/>
      <c r="V139"/>
      <c r="W139"/>
    </row>
    <row r="140" spans="1:23" ht="15" customHeight="1">
      <c r="A140"/>
      <c r="B140"/>
      <c r="C140"/>
      <c r="D140"/>
      <c r="E140"/>
      <c r="F140"/>
      <c r="G140"/>
      <c r="H140"/>
      <c r="I140"/>
      <c r="J140"/>
      <c r="K140"/>
      <c r="L140"/>
      <c r="M140"/>
      <c r="N140"/>
      <c r="O140"/>
      <c r="P140"/>
      <c r="Q140"/>
      <c r="R140"/>
      <c r="S140"/>
      <c r="T140"/>
      <c r="U140"/>
      <c r="V140"/>
      <c r="W140"/>
    </row>
    <row r="141" spans="1:23" ht="15" customHeight="1">
      <c r="A141"/>
      <c r="B141"/>
      <c r="C141"/>
      <c r="D141"/>
      <c r="E141"/>
      <c r="F141"/>
      <c r="G141"/>
      <c r="H141"/>
      <c r="I141"/>
      <c r="J141"/>
      <c r="K141"/>
      <c r="L141"/>
      <c r="M141"/>
      <c r="N141"/>
      <c r="O141"/>
      <c r="P141"/>
      <c r="Q141"/>
      <c r="R141"/>
      <c r="S141"/>
      <c r="T141"/>
      <c r="U141"/>
      <c r="V141"/>
      <c r="W141"/>
    </row>
    <row r="142" spans="1:23" ht="15" customHeight="1">
      <c r="A142"/>
      <c r="B142"/>
      <c r="C142"/>
      <c r="D142"/>
      <c r="E142"/>
      <c r="F142"/>
      <c r="G142"/>
      <c r="H142"/>
      <c r="I142"/>
      <c r="J142"/>
      <c r="K142"/>
      <c r="L142"/>
      <c r="M142"/>
      <c r="N142"/>
      <c r="O142"/>
      <c r="P142"/>
      <c r="Q142"/>
      <c r="R142"/>
      <c r="S142"/>
      <c r="T142"/>
      <c r="U142"/>
      <c r="V142"/>
      <c r="W142"/>
    </row>
    <row r="143" spans="1:23" ht="15" customHeight="1">
      <c r="A143"/>
      <c r="B143"/>
      <c r="C143"/>
      <c r="D143"/>
      <c r="E143"/>
      <c r="F143"/>
      <c r="G143"/>
      <c r="H143"/>
      <c r="I143"/>
      <c r="J143"/>
      <c r="K143"/>
      <c r="L143"/>
      <c r="M143"/>
      <c r="N143"/>
      <c r="O143"/>
      <c r="P143"/>
      <c r="Q143"/>
      <c r="R143"/>
      <c r="S143"/>
      <c r="T143"/>
      <c r="U143"/>
      <c r="V143"/>
      <c r="W143"/>
    </row>
    <row r="144" spans="1:23" ht="15" customHeight="1">
      <c r="A144"/>
      <c r="B144"/>
      <c r="C144"/>
      <c r="D144"/>
      <c r="E144"/>
      <c r="F144"/>
      <c r="G144"/>
      <c r="H144"/>
      <c r="I144"/>
      <c r="J144"/>
      <c r="K144"/>
      <c r="L144"/>
      <c r="M144"/>
      <c r="N144"/>
      <c r="O144"/>
      <c r="P144"/>
      <c r="Q144"/>
      <c r="R144"/>
      <c r="S144"/>
      <c r="T144"/>
      <c r="U144"/>
      <c r="V144"/>
      <c r="W144"/>
    </row>
    <row r="145" spans="1:23" ht="15" customHeight="1">
      <c r="A145"/>
      <c r="B145"/>
      <c r="C145"/>
      <c r="D145"/>
      <c r="E145"/>
      <c r="F145"/>
      <c r="G145"/>
      <c r="H145"/>
      <c r="I145"/>
      <c r="J145"/>
      <c r="K145"/>
      <c r="L145"/>
      <c r="M145"/>
      <c r="N145"/>
      <c r="O145"/>
      <c r="P145"/>
      <c r="Q145"/>
      <c r="R145"/>
      <c r="S145"/>
      <c r="T145"/>
      <c r="U145"/>
      <c r="V145"/>
      <c r="W145"/>
    </row>
    <row r="146" spans="1:23" ht="15" customHeight="1">
      <c r="A146"/>
      <c r="B146"/>
      <c r="C146"/>
      <c r="D146"/>
      <c r="E146"/>
      <c r="F146"/>
      <c r="G146"/>
      <c r="H146"/>
      <c r="I146"/>
      <c r="J146"/>
      <c r="K146"/>
      <c r="L146"/>
      <c r="M146"/>
      <c r="N146"/>
      <c r="O146"/>
      <c r="P146"/>
      <c r="Q146"/>
      <c r="R146"/>
      <c r="S146"/>
      <c r="T146"/>
      <c r="U146"/>
      <c r="V146"/>
      <c r="W146"/>
    </row>
    <row r="147" spans="1:23" ht="15" customHeight="1">
      <c r="A147"/>
      <c r="B147"/>
      <c r="C147"/>
      <c r="D147"/>
      <c r="E147"/>
      <c r="F147"/>
      <c r="G147"/>
      <c r="H147"/>
      <c r="I147"/>
      <c r="J147"/>
      <c r="K147"/>
      <c r="L147"/>
      <c r="M147"/>
      <c r="N147"/>
      <c r="O147"/>
      <c r="P147"/>
      <c r="Q147"/>
      <c r="R147"/>
      <c r="S147"/>
      <c r="T147"/>
      <c r="U147"/>
      <c r="V147"/>
      <c r="W147"/>
    </row>
    <row r="148" spans="1:23" ht="15" customHeight="1">
      <c r="A148"/>
      <c r="B148"/>
      <c r="C148"/>
      <c r="D148"/>
      <c r="E148"/>
      <c r="F148"/>
      <c r="G148"/>
      <c r="H148"/>
      <c r="I148"/>
      <c r="J148"/>
      <c r="K148"/>
      <c r="L148"/>
      <c r="M148"/>
      <c r="N148"/>
      <c r="O148"/>
      <c r="P148"/>
      <c r="Q148"/>
      <c r="R148"/>
      <c r="S148"/>
      <c r="T148"/>
      <c r="U148"/>
      <c r="V148"/>
      <c r="W148"/>
    </row>
    <row r="149" spans="1:23" ht="15" customHeight="1">
      <c r="A149"/>
      <c r="B149"/>
      <c r="C149"/>
      <c r="D149"/>
      <c r="E149"/>
      <c r="F149"/>
      <c r="G149"/>
      <c r="H149"/>
      <c r="I149"/>
      <c r="J149"/>
      <c r="K149"/>
      <c r="L149"/>
      <c r="M149"/>
      <c r="N149"/>
      <c r="O149"/>
      <c r="P149"/>
      <c r="Q149"/>
      <c r="R149"/>
      <c r="S149"/>
      <c r="T149"/>
      <c r="U149"/>
      <c r="V149"/>
      <c r="W149"/>
    </row>
    <row r="150" spans="1:23" ht="15" customHeight="1">
      <c r="A150"/>
      <c r="B150"/>
      <c r="C150"/>
      <c r="D150"/>
      <c r="E150"/>
      <c r="F150"/>
      <c r="G150"/>
      <c r="H150"/>
      <c r="I150"/>
      <c r="J150"/>
      <c r="K150"/>
      <c r="L150"/>
      <c r="M150"/>
      <c r="N150"/>
      <c r="O150"/>
      <c r="P150"/>
      <c r="Q150"/>
      <c r="R150"/>
      <c r="S150"/>
      <c r="T150"/>
      <c r="U150"/>
      <c r="V150"/>
      <c r="W150"/>
    </row>
    <row r="151" spans="1:23" ht="15" customHeight="1">
      <c r="A151"/>
      <c r="B151"/>
      <c r="C151"/>
      <c r="D151"/>
      <c r="E151"/>
      <c r="F151"/>
      <c r="G151"/>
      <c r="H151"/>
      <c r="I151"/>
      <c r="J151"/>
      <c r="K151"/>
      <c r="L151"/>
      <c r="M151"/>
      <c r="N151"/>
      <c r="O151"/>
      <c r="P151"/>
      <c r="Q151"/>
      <c r="R151"/>
      <c r="S151"/>
      <c r="T151"/>
      <c r="U151"/>
      <c r="V151"/>
      <c r="W151"/>
    </row>
    <row r="152" spans="1:23" ht="15" customHeight="1">
      <c r="A152"/>
      <c r="B152"/>
      <c r="C152"/>
      <c r="D152"/>
      <c r="E152"/>
      <c r="F152"/>
      <c r="G152"/>
      <c r="H152"/>
      <c r="I152"/>
      <c r="J152"/>
      <c r="K152"/>
      <c r="L152"/>
      <c r="M152"/>
      <c r="N152"/>
      <c r="O152"/>
      <c r="P152"/>
      <c r="Q152"/>
      <c r="R152"/>
      <c r="S152"/>
      <c r="T152"/>
      <c r="U152"/>
      <c r="V152"/>
      <c r="W152"/>
    </row>
    <row r="153" spans="1:23" ht="15" customHeight="1">
      <c r="A153"/>
      <c r="B153"/>
      <c r="C153"/>
      <c r="D153"/>
      <c r="E153"/>
      <c r="F153"/>
      <c r="G153"/>
      <c r="H153"/>
      <c r="I153"/>
      <c r="J153"/>
      <c r="K153"/>
      <c r="L153"/>
      <c r="M153"/>
      <c r="N153"/>
      <c r="O153"/>
      <c r="P153"/>
      <c r="Q153"/>
      <c r="R153"/>
      <c r="S153"/>
      <c r="T153"/>
      <c r="U153"/>
      <c r="V153"/>
      <c r="W153"/>
    </row>
    <row r="154" spans="1:23" ht="15" customHeight="1">
      <c r="A154"/>
      <c r="B154"/>
      <c r="C154"/>
      <c r="D154"/>
      <c r="E154"/>
      <c r="F154"/>
      <c r="G154"/>
      <c r="H154"/>
      <c r="I154"/>
      <c r="J154"/>
      <c r="K154"/>
      <c r="L154"/>
      <c r="M154"/>
      <c r="N154"/>
      <c r="O154"/>
      <c r="P154"/>
      <c r="Q154"/>
      <c r="R154"/>
      <c r="S154"/>
      <c r="T154"/>
      <c r="U154"/>
      <c r="V154"/>
      <c r="W154"/>
    </row>
    <row r="155" spans="1:23" ht="15" customHeight="1">
      <c r="A155"/>
      <c r="B155"/>
      <c r="C155"/>
      <c r="D155"/>
      <c r="E155"/>
      <c r="F155"/>
      <c r="G155"/>
      <c r="H155"/>
      <c r="I155"/>
      <c r="J155"/>
      <c r="K155"/>
      <c r="L155"/>
      <c r="M155"/>
      <c r="N155"/>
      <c r="O155"/>
      <c r="P155"/>
      <c r="Q155"/>
      <c r="R155"/>
      <c r="S155"/>
      <c r="T155"/>
      <c r="U155"/>
      <c r="V155"/>
      <c r="W155"/>
    </row>
    <row r="156" spans="1:23" ht="15" customHeight="1">
      <c r="A156"/>
      <c r="B156"/>
      <c r="C156"/>
      <c r="D156"/>
      <c r="E156"/>
      <c r="F156"/>
      <c r="G156"/>
      <c r="H156"/>
      <c r="I156"/>
      <c r="J156"/>
      <c r="K156"/>
      <c r="L156"/>
      <c r="M156"/>
      <c r="N156"/>
      <c r="O156"/>
      <c r="P156"/>
      <c r="Q156"/>
      <c r="R156"/>
      <c r="S156"/>
      <c r="T156"/>
      <c r="U156"/>
      <c r="V156"/>
      <c r="W156"/>
    </row>
    <row r="157" spans="1:23" ht="15" customHeight="1">
      <c r="A157"/>
      <c r="B157"/>
      <c r="C157"/>
      <c r="D157"/>
      <c r="E157"/>
      <c r="F157"/>
      <c r="G157"/>
      <c r="H157"/>
      <c r="I157"/>
      <c r="J157"/>
      <c r="K157"/>
      <c r="L157"/>
      <c r="M157"/>
      <c r="N157"/>
      <c r="O157"/>
      <c r="P157"/>
      <c r="Q157"/>
      <c r="R157"/>
      <c r="S157"/>
      <c r="T157"/>
      <c r="U157"/>
      <c r="V157"/>
      <c r="W157"/>
    </row>
    <row r="158" spans="1:23" ht="15" customHeight="1">
      <c r="A158"/>
      <c r="B158"/>
      <c r="C158"/>
      <c r="D158"/>
      <c r="E158"/>
      <c r="F158"/>
      <c r="G158"/>
      <c r="H158"/>
      <c r="I158"/>
      <c r="J158"/>
      <c r="K158"/>
      <c r="L158"/>
      <c r="M158"/>
      <c r="N158"/>
      <c r="O158"/>
      <c r="P158"/>
      <c r="Q158"/>
      <c r="R158"/>
      <c r="S158"/>
      <c r="T158"/>
      <c r="U158"/>
      <c r="V158"/>
      <c r="W158"/>
    </row>
    <row r="159" spans="1:23" ht="15" customHeight="1">
      <c r="A159"/>
      <c r="B159"/>
      <c r="C159"/>
      <c r="D159"/>
      <c r="E159"/>
      <c r="F159"/>
      <c r="G159"/>
      <c r="H159"/>
      <c r="I159"/>
      <c r="J159"/>
      <c r="K159"/>
      <c r="L159"/>
      <c r="M159"/>
      <c r="N159"/>
      <c r="O159"/>
      <c r="P159"/>
      <c r="Q159"/>
      <c r="R159"/>
      <c r="S159"/>
      <c r="T159"/>
      <c r="U159"/>
      <c r="V159"/>
      <c r="W159"/>
    </row>
    <row r="160" spans="1:23" ht="15" customHeight="1">
      <c r="A160"/>
      <c r="B160"/>
      <c r="C160"/>
      <c r="D160"/>
      <c r="E160"/>
      <c r="F160"/>
      <c r="G160"/>
      <c r="H160"/>
      <c r="I160"/>
      <c r="J160"/>
      <c r="K160"/>
      <c r="L160"/>
      <c r="M160"/>
      <c r="N160"/>
      <c r="O160"/>
      <c r="P160"/>
      <c r="Q160"/>
      <c r="R160"/>
      <c r="S160"/>
      <c r="T160"/>
      <c r="U160"/>
      <c r="V160"/>
      <c r="W160"/>
    </row>
    <row r="161" spans="1:23" ht="15" customHeight="1">
      <c r="A161"/>
      <c r="B161"/>
      <c r="C161"/>
      <c r="D161"/>
      <c r="E161"/>
      <c r="F161"/>
      <c r="G161"/>
      <c r="H161"/>
      <c r="I161"/>
      <c r="J161"/>
      <c r="K161"/>
      <c r="L161"/>
      <c r="M161"/>
      <c r="N161"/>
      <c r="O161"/>
      <c r="P161"/>
      <c r="Q161"/>
      <c r="R161"/>
      <c r="S161"/>
      <c r="T161"/>
      <c r="U161"/>
      <c r="V161"/>
      <c r="W161"/>
    </row>
    <row r="162" spans="1:23" ht="15" customHeight="1">
      <c r="A162"/>
      <c r="B162"/>
      <c r="C162"/>
      <c r="D162"/>
      <c r="E162"/>
      <c r="F162"/>
      <c r="G162"/>
      <c r="H162"/>
      <c r="I162"/>
      <c r="J162"/>
      <c r="K162"/>
      <c r="L162"/>
      <c r="M162"/>
      <c r="N162"/>
      <c r="O162"/>
      <c r="P162"/>
      <c r="Q162"/>
      <c r="R162"/>
      <c r="S162"/>
      <c r="T162"/>
      <c r="U162"/>
      <c r="V162"/>
      <c r="W162"/>
    </row>
    <row r="163" spans="1:23" ht="15" customHeight="1">
      <c r="A163"/>
      <c r="B163"/>
      <c r="C163"/>
      <c r="D163"/>
      <c r="E163"/>
      <c r="F163"/>
      <c r="G163"/>
      <c r="H163"/>
      <c r="I163"/>
      <c r="J163"/>
      <c r="K163"/>
      <c r="L163"/>
      <c r="M163"/>
      <c r="N163"/>
      <c r="O163"/>
      <c r="P163"/>
      <c r="Q163"/>
      <c r="R163"/>
      <c r="S163"/>
      <c r="T163"/>
      <c r="U163"/>
      <c r="V163"/>
      <c r="W163"/>
    </row>
    <row r="164" spans="1:23" ht="15" customHeight="1">
      <c r="A164"/>
      <c r="B164"/>
      <c r="C164"/>
      <c r="D164"/>
      <c r="E164"/>
      <c r="F164"/>
      <c r="G164"/>
      <c r="H164"/>
      <c r="I164"/>
      <c r="J164"/>
      <c r="K164"/>
      <c r="L164"/>
      <c r="M164"/>
      <c r="N164"/>
      <c r="O164"/>
      <c r="P164"/>
      <c r="Q164"/>
      <c r="R164"/>
      <c r="S164"/>
      <c r="T164"/>
      <c r="U164"/>
      <c r="V164"/>
      <c r="W164"/>
    </row>
    <row r="165" spans="1:23" ht="15" customHeight="1">
      <c r="A165"/>
      <c r="B165"/>
      <c r="C165"/>
      <c r="D165"/>
      <c r="E165"/>
      <c r="F165"/>
      <c r="G165"/>
      <c r="H165"/>
      <c r="I165"/>
      <c r="J165"/>
      <c r="K165"/>
      <c r="L165"/>
      <c r="M165"/>
      <c r="N165"/>
      <c r="O165"/>
      <c r="P165"/>
      <c r="Q165"/>
      <c r="R165"/>
      <c r="S165"/>
      <c r="T165"/>
      <c r="U165"/>
      <c r="V165"/>
      <c r="W165"/>
    </row>
    <row r="166" spans="1:23" ht="15" customHeight="1">
      <c r="A166"/>
      <c r="B166"/>
      <c r="C166"/>
      <c r="D166"/>
      <c r="E166"/>
      <c r="F166"/>
      <c r="G166"/>
      <c r="H166"/>
      <c r="I166"/>
      <c r="J166"/>
      <c r="K166"/>
      <c r="L166"/>
      <c r="M166"/>
      <c r="N166"/>
      <c r="O166"/>
      <c r="P166"/>
      <c r="Q166"/>
      <c r="R166"/>
      <c r="S166"/>
      <c r="T166"/>
      <c r="U166"/>
      <c r="V166"/>
      <c r="W166"/>
    </row>
    <row r="167" spans="1:23" ht="15" customHeight="1">
      <c r="A167"/>
      <c r="B167"/>
      <c r="C167"/>
      <c r="D167"/>
      <c r="E167"/>
      <c r="F167"/>
      <c r="G167"/>
      <c r="H167"/>
      <c r="I167"/>
      <c r="J167"/>
      <c r="K167"/>
      <c r="L167"/>
      <c r="M167"/>
      <c r="N167"/>
      <c r="O167"/>
      <c r="P167"/>
      <c r="Q167"/>
      <c r="R167"/>
      <c r="S167"/>
      <c r="T167"/>
      <c r="U167"/>
      <c r="V167"/>
      <c r="W167"/>
    </row>
    <row r="168" spans="1:23" ht="15" customHeight="1">
      <c r="A168"/>
      <c r="B168"/>
      <c r="C168"/>
      <c r="D168"/>
      <c r="E168"/>
      <c r="F168"/>
      <c r="G168"/>
      <c r="H168"/>
      <c r="I168"/>
      <c r="J168"/>
      <c r="K168"/>
      <c r="L168"/>
      <c r="M168"/>
      <c r="N168"/>
      <c r="O168"/>
      <c r="P168"/>
      <c r="Q168"/>
      <c r="R168"/>
      <c r="S168"/>
      <c r="T168"/>
      <c r="U168"/>
      <c r="V168"/>
      <c r="W168"/>
    </row>
    <row r="169" spans="1:23" ht="15" customHeight="1">
      <c r="A169"/>
      <c r="B169"/>
      <c r="C169"/>
      <c r="D169"/>
      <c r="E169"/>
      <c r="F169"/>
      <c r="G169"/>
      <c r="H169"/>
      <c r="I169"/>
      <c r="J169"/>
      <c r="K169"/>
      <c r="L169"/>
      <c r="M169"/>
      <c r="N169"/>
      <c r="O169"/>
      <c r="P169"/>
      <c r="Q169"/>
      <c r="R169"/>
      <c r="S169"/>
      <c r="T169"/>
      <c r="U169"/>
      <c r="V169"/>
      <c r="W169"/>
    </row>
    <row r="170" spans="1:23" ht="15" customHeight="1">
      <c r="A170"/>
      <c r="B170"/>
      <c r="C170"/>
      <c r="D170"/>
      <c r="E170"/>
      <c r="F170"/>
      <c r="G170"/>
      <c r="H170"/>
      <c r="I170"/>
      <c r="J170"/>
      <c r="K170"/>
      <c r="L170"/>
      <c r="M170"/>
      <c r="N170"/>
      <c r="O170"/>
      <c r="P170"/>
      <c r="Q170"/>
      <c r="R170"/>
      <c r="S170"/>
      <c r="T170"/>
      <c r="U170"/>
      <c r="V170"/>
      <c r="W170"/>
    </row>
    <row r="171" spans="1:23" ht="15" customHeight="1">
      <c r="A171"/>
      <c r="B171"/>
      <c r="C171"/>
      <c r="D171"/>
      <c r="E171"/>
      <c r="F171"/>
      <c r="G171"/>
      <c r="H171"/>
      <c r="I171"/>
      <c r="J171"/>
      <c r="K171"/>
      <c r="L171"/>
      <c r="M171"/>
      <c r="N171"/>
      <c r="O171"/>
      <c r="P171"/>
      <c r="Q171"/>
      <c r="R171"/>
      <c r="S171"/>
      <c r="T171"/>
      <c r="U171"/>
      <c r="V171"/>
      <c r="W171"/>
    </row>
    <row r="172" spans="1:23" ht="15" customHeight="1">
      <c r="A172"/>
      <c r="B172"/>
      <c r="C172"/>
      <c r="D172"/>
      <c r="E172"/>
      <c r="F172"/>
      <c r="G172"/>
      <c r="H172"/>
      <c r="I172"/>
      <c r="J172"/>
      <c r="K172"/>
      <c r="L172"/>
      <c r="M172"/>
      <c r="N172"/>
      <c r="O172"/>
      <c r="P172"/>
      <c r="Q172"/>
      <c r="R172"/>
      <c r="S172"/>
      <c r="T172"/>
      <c r="U172"/>
      <c r="V172"/>
      <c r="W172"/>
    </row>
    <row r="173" spans="1:23" ht="15" customHeight="1">
      <c r="A173"/>
      <c r="B173"/>
      <c r="C173"/>
      <c r="D173"/>
      <c r="E173"/>
      <c r="F173"/>
      <c r="G173"/>
      <c r="H173"/>
      <c r="I173"/>
      <c r="J173"/>
      <c r="K173"/>
      <c r="L173"/>
      <c r="M173"/>
      <c r="N173"/>
      <c r="O173"/>
      <c r="P173"/>
      <c r="Q173"/>
      <c r="R173"/>
      <c r="S173"/>
      <c r="T173"/>
      <c r="U173"/>
      <c r="V173"/>
      <c r="W173"/>
    </row>
    <row r="174" spans="1:23" ht="15" customHeight="1">
      <c r="A174"/>
      <c r="B174"/>
      <c r="C174"/>
      <c r="D174"/>
      <c r="E174"/>
      <c r="F174"/>
      <c r="G174"/>
      <c r="H174"/>
      <c r="I174"/>
      <c r="J174"/>
      <c r="K174"/>
      <c r="L174"/>
      <c r="M174"/>
      <c r="N174"/>
      <c r="O174"/>
      <c r="P174"/>
      <c r="Q174"/>
      <c r="R174"/>
      <c r="S174"/>
      <c r="T174"/>
      <c r="U174"/>
      <c r="V174"/>
      <c r="W174"/>
    </row>
    <row r="175" spans="1:23" ht="15" customHeight="1">
      <c r="A175"/>
      <c r="B175"/>
      <c r="C175"/>
      <c r="D175"/>
      <c r="E175"/>
      <c r="F175"/>
      <c r="G175"/>
      <c r="H175"/>
      <c r="I175"/>
      <c r="J175"/>
      <c r="K175"/>
      <c r="L175"/>
      <c r="M175"/>
      <c r="N175"/>
      <c r="O175"/>
      <c r="P175"/>
      <c r="Q175"/>
      <c r="R175"/>
      <c r="S175"/>
      <c r="T175"/>
      <c r="U175"/>
      <c r="V175"/>
      <c r="W175"/>
    </row>
    <row r="176" spans="1:23" ht="15" customHeight="1">
      <c r="A176"/>
      <c r="B176"/>
      <c r="C176"/>
      <c r="D176"/>
      <c r="E176"/>
      <c r="F176"/>
      <c r="G176"/>
      <c r="H176"/>
      <c r="I176"/>
      <c r="J176"/>
      <c r="K176"/>
      <c r="L176"/>
      <c r="M176"/>
      <c r="N176"/>
      <c r="O176"/>
      <c r="P176"/>
      <c r="Q176"/>
      <c r="R176"/>
      <c r="S176"/>
      <c r="T176"/>
      <c r="U176"/>
      <c r="V176"/>
      <c r="W176"/>
    </row>
    <row r="177" spans="1:23" ht="15" customHeight="1">
      <c r="A177"/>
      <c r="B177"/>
      <c r="C177"/>
      <c r="D177"/>
      <c r="E177"/>
      <c r="F177"/>
      <c r="G177"/>
      <c r="H177"/>
      <c r="I177"/>
      <c r="J177"/>
      <c r="K177"/>
      <c r="L177"/>
      <c r="M177"/>
      <c r="N177"/>
      <c r="O177"/>
      <c r="P177"/>
      <c r="Q177"/>
      <c r="R177"/>
      <c r="S177"/>
      <c r="T177"/>
      <c r="U177"/>
      <c r="V177"/>
      <c r="W177"/>
    </row>
    <row r="178" spans="1:23" ht="15" customHeight="1">
      <c r="A178"/>
      <c r="B178"/>
      <c r="C178"/>
      <c r="D178"/>
      <c r="E178"/>
      <c r="F178"/>
      <c r="G178"/>
      <c r="H178"/>
      <c r="I178"/>
      <c r="J178"/>
      <c r="K178"/>
      <c r="L178"/>
      <c r="M178"/>
      <c r="N178"/>
      <c r="O178"/>
      <c r="P178"/>
      <c r="Q178"/>
      <c r="R178"/>
      <c r="S178"/>
      <c r="T178"/>
      <c r="U178"/>
      <c r="V178"/>
      <c r="W178"/>
    </row>
    <row r="179" spans="1:23" ht="15" customHeight="1">
      <c r="A179"/>
      <c r="B179"/>
      <c r="C179"/>
      <c r="D179"/>
      <c r="E179"/>
      <c r="F179"/>
      <c r="G179"/>
      <c r="H179"/>
      <c r="I179"/>
      <c r="J179"/>
      <c r="K179"/>
      <c r="L179"/>
      <c r="M179"/>
      <c r="N179"/>
      <c r="O179"/>
      <c r="P179"/>
      <c r="Q179"/>
      <c r="R179"/>
      <c r="S179"/>
      <c r="T179"/>
      <c r="U179"/>
      <c r="V179"/>
      <c r="W179"/>
    </row>
    <row r="180" spans="1:23" ht="15" customHeight="1">
      <c r="A180"/>
      <c r="B180"/>
      <c r="C180"/>
      <c r="D180"/>
      <c r="E180"/>
      <c r="F180"/>
      <c r="G180"/>
      <c r="H180"/>
      <c r="I180"/>
      <c r="J180"/>
      <c r="K180"/>
      <c r="L180"/>
      <c r="M180"/>
      <c r="N180"/>
      <c r="O180"/>
      <c r="P180"/>
      <c r="Q180"/>
      <c r="R180"/>
      <c r="S180"/>
      <c r="T180"/>
      <c r="U180"/>
      <c r="V180"/>
      <c r="W180"/>
    </row>
    <row r="181" spans="1:23" ht="15" customHeight="1">
      <c r="A181"/>
      <c r="B181"/>
      <c r="C181"/>
      <c r="D181"/>
      <c r="E181"/>
      <c r="F181"/>
      <c r="G181"/>
      <c r="H181"/>
      <c r="I181"/>
      <c r="J181"/>
      <c r="K181"/>
      <c r="L181"/>
      <c r="M181"/>
      <c r="N181"/>
      <c r="O181"/>
      <c r="P181"/>
      <c r="Q181"/>
      <c r="R181"/>
      <c r="S181"/>
      <c r="T181"/>
      <c r="U181"/>
      <c r="V181"/>
      <c r="W181"/>
    </row>
    <row r="182" spans="1:23" ht="15" customHeight="1">
      <c r="A182"/>
      <c r="B182"/>
      <c r="C182"/>
      <c r="D182"/>
      <c r="E182"/>
      <c r="F182"/>
      <c r="G182"/>
      <c r="H182"/>
      <c r="I182"/>
      <c r="J182"/>
      <c r="K182"/>
      <c r="L182"/>
      <c r="M182"/>
      <c r="N182"/>
      <c r="O182"/>
      <c r="P182"/>
      <c r="Q182"/>
      <c r="R182"/>
      <c r="S182"/>
      <c r="T182"/>
      <c r="U182"/>
      <c r="V182"/>
      <c r="W182"/>
    </row>
    <row r="183" spans="1:23" ht="15" customHeight="1">
      <c r="A183"/>
      <c r="B183"/>
      <c r="C183"/>
      <c r="D183"/>
      <c r="E183"/>
      <c r="F183"/>
      <c r="G183"/>
      <c r="H183"/>
      <c r="I183"/>
      <c r="J183"/>
      <c r="K183"/>
      <c r="L183"/>
      <c r="M183"/>
      <c r="N183"/>
      <c r="O183"/>
      <c r="P183"/>
      <c r="Q183"/>
      <c r="R183"/>
      <c r="S183"/>
      <c r="T183"/>
      <c r="U183"/>
      <c r="V183"/>
      <c r="W183"/>
    </row>
    <row r="184" spans="1:23" ht="15" customHeight="1">
      <c r="A184"/>
      <c r="B184"/>
      <c r="C184"/>
      <c r="D184"/>
      <c r="E184"/>
      <c r="F184"/>
      <c r="G184"/>
      <c r="H184"/>
      <c r="I184"/>
      <c r="J184"/>
      <c r="K184"/>
      <c r="L184"/>
      <c r="M184"/>
      <c r="N184"/>
      <c r="O184"/>
      <c r="P184"/>
      <c r="Q184"/>
      <c r="R184"/>
      <c r="S184"/>
      <c r="T184"/>
      <c r="U184"/>
      <c r="V184"/>
      <c r="W184"/>
    </row>
    <row r="185" spans="1:23" ht="15" customHeight="1">
      <c r="A185"/>
      <c r="B185"/>
      <c r="C185"/>
      <c r="D185"/>
      <c r="E185"/>
      <c r="F185"/>
      <c r="G185"/>
      <c r="H185"/>
      <c r="I185"/>
      <c r="J185"/>
      <c r="K185"/>
      <c r="L185"/>
      <c r="M185"/>
      <c r="N185"/>
      <c r="O185"/>
      <c r="P185"/>
      <c r="Q185"/>
      <c r="R185"/>
      <c r="S185"/>
      <c r="T185"/>
      <c r="U185"/>
      <c r="V185"/>
      <c r="W185"/>
    </row>
    <row r="186" spans="1:23" ht="15" customHeight="1">
      <c r="A186"/>
      <c r="B186"/>
      <c r="C186"/>
      <c r="D186"/>
      <c r="E186"/>
      <c r="F186"/>
      <c r="G186"/>
      <c r="H186"/>
      <c r="I186"/>
      <c r="J186"/>
      <c r="K186"/>
      <c r="L186"/>
      <c r="M186"/>
      <c r="N186"/>
      <c r="O186"/>
      <c r="P186"/>
      <c r="Q186"/>
      <c r="R186"/>
      <c r="S186"/>
      <c r="T186"/>
      <c r="U186"/>
      <c r="V186"/>
      <c r="W186"/>
    </row>
    <row r="187" spans="1:23" ht="15" customHeight="1">
      <c r="A187"/>
      <c r="B187"/>
      <c r="C187"/>
      <c r="D187"/>
      <c r="E187"/>
      <c r="F187"/>
      <c r="G187"/>
      <c r="H187"/>
      <c r="I187"/>
      <c r="J187"/>
      <c r="K187"/>
      <c r="L187"/>
      <c r="M187"/>
      <c r="N187"/>
      <c r="O187"/>
      <c r="P187"/>
      <c r="Q187"/>
      <c r="R187"/>
      <c r="S187"/>
      <c r="T187"/>
      <c r="U187"/>
      <c r="V187"/>
      <c r="W187"/>
    </row>
    <row r="188" spans="1:23" ht="15" customHeight="1">
      <c r="A188"/>
      <c r="B188"/>
      <c r="C188"/>
      <c r="D188"/>
      <c r="E188"/>
      <c r="F188"/>
      <c r="G188"/>
      <c r="H188"/>
      <c r="I188"/>
      <c r="J188"/>
      <c r="K188"/>
      <c r="L188"/>
      <c r="M188"/>
      <c r="N188"/>
      <c r="O188"/>
      <c r="P188"/>
      <c r="Q188"/>
      <c r="R188"/>
      <c r="S188"/>
      <c r="T188"/>
      <c r="U188"/>
      <c r="V188"/>
      <c r="W188"/>
    </row>
    <row r="189" spans="1:23" ht="15" customHeight="1">
      <c r="A189"/>
      <c r="B189"/>
      <c r="C189"/>
      <c r="D189"/>
      <c r="E189"/>
      <c r="F189"/>
      <c r="G189"/>
      <c r="H189"/>
      <c r="I189"/>
      <c r="J189"/>
      <c r="K189"/>
      <c r="L189"/>
      <c r="M189"/>
      <c r="N189"/>
      <c r="O189"/>
      <c r="P189"/>
      <c r="Q189"/>
      <c r="R189"/>
      <c r="S189"/>
      <c r="T189"/>
      <c r="U189"/>
      <c r="V189"/>
      <c r="W189"/>
    </row>
    <row r="190" spans="1:23" ht="15" customHeight="1">
      <c r="A190"/>
      <c r="B190"/>
      <c r="C190"/>
      <c r="D190"/>
      <c r="E190"/>
      <c r="F190"/>
      <c r="G190"/>
      <c r="H190"/>
      <c r="I190"/>
      <c r="J190"/>
      <c r="K190"/>
      <c r="L190"/>
      <c r="M190"/>
      <c r="N190"/>
      <c r="O190"/>
      <c r="P190"/>
      <c r="Q190"/>
      <c r="R190"/>
      <c r="S190"/>
      <c r="T190"/>
      <c r="U190"/>
      <c r="V190"/>
      <c r="W190"/>
    </row>
    <row r="191" spans="1:23" ht="15" customHeight="1">
      <c r="A191"/>
      <c r="B191"/>
      <c r="C191"/>
      <c r="D191"/>
      <c r="E191"/>
      <c r="F191"/>
      <c r="G191"/>
      <c r="H191"/>
      <c r="I191"/>
      <c r="J191"/>
      <c r="K191"/>
      <c r="L191"/>
      <c r="M191"/>
      <c r="N191"/>
      <c r="O191"/>
      <c r="P191"/>
      <c r="Q191"/>
      <c r="R191"/>
      <c r="S191"/>
      <c r="T191"/>
      <c r="U191"/>
      <c r="V191"/>
      <c r="W191"/>
    </row>
    <row r="192" spans="1:23" ht="15" customHeight="1">
      <c r="A192"/>
      <c r="B192"/>
      <c r="C192"/>
      <c r="D192"/>
      <c r="E192"/>
      <c r="F192"/>
      <c r="G192"/>
      <c r="H192"/>
      <c r="I192"/>
      <c r="J192"/>
      <c r="K192"/>
      <c r="L192"/>
      <c r="M192"/>
      <c r="N192"/>
      <c r="O192"/>
      <c r="P192"/>
      <c r="Q192"/>
      <c r="R192"/>
      <c r="S192"/>
      <c r="T192"/>
      <c r="U192"/>
      <c r="V192"/>
      <c r="W192"/>
    </row>
    <row r="193" spans="1:23" ht="15" customHeight="1">
      <c r="A193"/>
      <c r="B193"/>
      <c r="C193"/>
      <c r="D193"/>
      <c r="E193"/>
      <c r="F193"/>
      <c r="G193"/>
      <c r="H193"/>
      <c r="I193"/>
      <c r="J193"/>
      <c r="K193"/>
      <c r="L193"/>
      <c r="M193"/>
      <c r="N193"/>
      <c r="O193"/>
      <c r="P193"/>
      <c r="Q193"/>
      <c r="R193"/>
      <c r="S193"/>
      <c r="T193"/>
      <c r="U193"/>
      <c r="V193"/>
      <c r="W193"/>
    </row>
    <row r="194" spans="1:23" ht="15" customHeight="1">
      <c r="A194"/>
      <c r="B194"/>
      <c r="C194"/>
      <c r="D194"/>
      <c r="E194"/>
      <c r="F194"/>
      <c r="G194"/>
      <c r="H194"/>
      <c r="I194"/>
      <c r="J194"/>
      <c r="K194"/>
      <c r="L194"/>
      <c r="M194"/>
      <c r="N194"/>
      <c r="O194"/>
      <c r="P194"/>
      <c r="Q194"/>
      <c r="R194"/>
      <c r="S194"/>
      <c r="T194"/>
      <c r="U194"/>
      <c r="V194"/>
      <c r="W194"/>
    </row>
    <row r="195" spans="1:23" ht="15" customHeight="1">
      <c r="A195"/>
      <c r="B195"/>
      <c r="C195"/>
      <c r="D195"/>
      <c r="E195"/>
      <c r="F195"/>
      <c r="G195"/>
      <c r="H195"/>
      <c r="I195"/>
      <c r="J195"/>
      <c r="K195"/>
      <c r="L195"/>
      <c r="M195"/>
      <c r="N195"/>
      <c r="O195"/>
      <c r="P195"/>
      <c r="Q195"/>
      <c r="R195"/>
      <c r="S195"/>
      <c r="T195"/>
      <c r="U195"/>
      <c r="V195"/>
      <c r="W195"/>
    </row>
    <row r="196" spans="1:23" ht="15" customHeight="1">
      <c r="A196"/>
      <c r="B196"/>
      <c r="C196"/>
      <c r="D196"/>
      <c r="E196"/>
      <c r="F196"/>
      <c r="G196"/>
      <c r="H196"/>
      <c r="I196"/>
      <c r="J196"/>
      <c r="K196"/>
      <c r="L196"/>
      <c r="M196"/>
      <c r="N196"/>
      <c r="O196"/>
      <c r="P196"/>
      <c r="Q196"/>
      <c r="R196"/>
      <c r="S196"/>
      <c r="T196"/>
      <c r="U196"/>
      <c r="V196"/>
      <c r="W196"/>
    </row>
    <row r="197" spans="1:23" ht="15" customHeight="1">
      <c r="A197"/>
      <c r="B197"/>
      <c r="C197"/>
      <c r="D197"/>
      <c r="E197"/>
      <c r="F197"/>
      <c r="G197"/>
      <c r="H197"/>
      <c r="I197"/>
      <c r="J197"/>
      <c r="K197"/>
      <c r="L197"/>
      <c r="M197"/>
      <c r="N197"/>
      <c r="O197"/>
      <c r="P197"/>
      <c r="Q197"/>
      <c r="R197"/>
      <c r="S197"/>
      <c r="T197"/>
      <c r="U197"/>
      <c r="V197"/>
      <c r="W197"/>
    </row>
    <row r="198" spans="1:23" ht="15" customHeight="1">
      <c r="A198"/>
      <c r="B198"/>
      <c r="C198"/>
      <c r="D198"/>
      <c r="E198"/>
      <c r="F198"/>
      <c r="G198"/>
      <c r="H198"/>
      <c r="I198"/>
      <c r="J198"/>
      <c r="K198"/>
      <c r="L198"/>
      <c r="M198"/>
      <c r="N198"/>
      <c r="O198"/>
      <c r="P198"/>
      <c r="Q198"/>
      <c r="R198"/>
      <c r="S198"/>
      <c r="T198"/>
      <c r="U198"/>
      <c r="V198"/>
      <c r="W198"/>
    </row>
    <row r="199" spans="1:23" ht="15" customHeight="1">
      <c r="A199"/>
      <c r="B199"/>
      <c r="C199"/>
      <c r="D199"/>
      <c r="E199"/>
      <c r="F199"/>
      <c r="G199"/>
      <c r="H199"/>
      <c r="I199"/>
      <c r="J199"/>
      <c r="K199"/>
      <c r="L199"/>
      <c r="M199"/>
      <c r="N199"/>
      <c r="O199"/>
      <c r="P199"/>
      <c r="Q199"/>
      <c r="R199"/>
      <c r="S199"/>
      <c r="T199"/>
      <c r="U199"/>
      <c r="V199"/>
      <c r="W199"/>
    </row>
    <row r="200" spans="1:23" ht="15" customHeight="1">
      <c r="A200"/>
      <c r="B200"/>
      <c r="C200"/>
      <c r="D200"/>
      <c r="E200"/>
      <c r="F200"/>
      <c r="G200"/>
      <c r="H200"/>
      <c r="I200"/>
      <c r="J200"/>
      <c r="K200"/>
      <c r="L200"/>
      <c r="M200"/>
      <c r="N200"/>
      <c r="O200"/>
      <c r="P200"/>
      <c r="Q200"/>
      <c r="R200"/>
      <c r="S200"/>
      <c r="T200"/>
      <c r="U200"/>
      <c r="V200"/>
      <c r="W200"/>
    </row>
    <row r="201" spans="1:23" ht="15" customHeight="1">
      <c r="A201"/>
      <c r="B201"/>
      <c r="C201"/>
      <c r="D201"/>
      <c r="E201"/>
      <c r="F201"/>
      <c r="G201"/>
      <c r="H201"/>
      <c r="I201"/>
      <c r="J201"/>
      <c r="K201"/>
      <c r="L201"/>
      <c r="M201"/>
      <c r="N201"/>
      <c r="O201"/>
      <c r="P201"/>
      <c r="Q201"/>
      <c r="R201"/>
      <c r="S201"/>
      <c r="T201"/>
      <c r="U201"/>
      <c r="V201"/>
      <c r="W201"/>
    </row>
    <row r="202" spans="1:23" ht="15" customHeight="1">
      <c r="A202"/>
      <c r="B202"/>
      <c r="C202"/>
      <c r="D202"/>
      <c r="E202"/>
      <c r="F202"/>
      <c r="G202"/>
      <c r="H202"/>
      <c r="I202"/>
      <c r="J202"/>
      <c r="K202"/>
      <c r="L202"/>
      <c r="M202"/>
      <c r="N202"/>
      <c r="O202"/>
      <c r="P202"/>
      <c r="Q202"/>
      <c r="R202"/>
      <c r="S202"/>
      <c r="T202"/>
      <c r="U202"/>
      <c r="V202"/>
      <c r="W202"/>
    </row>
    <row r="203" spans="1:23" ht="15" customHeight="1">
      <c r="A203"/>
      <c r="B203"/>
      <c r="C203"/>
      <c r="D203"/>
      <c r="E203"/>
      <c r="F203"/>
      <c r="G203"/>
      <c r="H203"/>
      <c r="I203"/>
      <c r="J203"/>
      <c r="K203"/>
      <c r="L203"/>
      <c r="M203"/>
      <c r="N203"/>
      <c r="O203"/>
      <c r="P203"/>
      <c r="Q203"/>
      <c r="R203"/>
      <c r="S203"/>
      <c r="T203"/>
      <c r="U203"/>
      <c r="V203"/>
      <c r="W203"/>
    </row>
    <row r="204" spans="1:23" ht="15" customHeight="1">
      <c r="A204"/>
      <c r="B204"/>
      <c r="C204"/>
      <c r="D204"/>
      <c r="E204"/>
      <c r="F204"/>
      <c r="G204"/>
      <c r="H204"/>
      <c r="I204"/>
      <c r="J204"/>
      <c r="K204"/>
      <c r="L204"/>
      <c r="M204"/>
      <c r="N204"/>
      <c r="O204"/>
      <c r="P204"/>
      <c r="Q204"/>
      <c r="R204"/>
      <c r="S204"/>
      <c r="T204"/>
      <c r="U204"/>
      <c r="V204"/>
      <c r="W204"/>
    </row>
    <row r="205" spans="1:23" ht="15" customHeight="1">
      <c r="A205"/>
      <c r="B205"/>
      <c r="C205"/>
      <c r="D205"/>
      <c r="E205"/>
      <c r="F205"/>
      <c r="G205"/>
      <c r="H205"/>
      <c r="I205"/>
      <c r="J205"/>
      <c r="K205"/>
      <c r="L205"/>
      <c r="M205"/>
      <c r="N205"/>
      <c r="O205"/>
      <c r="P205"/>
      <c r="Q205"/>
      <c r="R205"/>
      <c r="S205"/>
      <c r="T205"/>
      <c r="U205"/>
      <c r="V205"/>
      <c r="W205"/>
    </row>
    <row r="206" spans="1:23" ht="15" customHeight="1">
      <c r="A206"/>
      <c r="B206"/>
      <c r="C206"/>
      <c r="D206"/>
      <c r="E206"/>
      <c r="F206"/>
      <c r="G206"/>
      <c r="H206"/>
      <c r="I206"/>
      <c r="J206"/>
      <c r="K206"/>
      <c r="L206"/>
      <c r="M206"/>
      <c r="N206"/>
      <c r="O206"/>
      <c r="P206"/>
      <c r="Q206"/>
      <c r="R206"/>
      <c r="S206"/>
      <c r="T206"/>
      <c r="U206"/>
      <c r="V206"/>
      <c r="W206"/>
    </row>
    <row r="207" spans="1:23" ht="15" customHeight="1">
      <c r="A207"/>
      <c r="B207"/>
      <c r="C207"/>
      <c r="D207"/>
      <c r="E207"/>
      <c r="F207"/>
      <c r="G207"/>
      <c r="H207"/>
      <c r="I207"/>
      <c r="J207"/>
      <c r="K207"/>
      <c r="L207"/>
      <c r="M207"/>
      <c r="N207"/>
      <c r="O207"/>
      <c r="P207"/>
      <c r="Q207"/>
      <c r="R207"/>
      <c r="S207"/>
      <c r="T207"/>
      <c r="U207"/>
      <c r="V207"/>
      <c r="W207"/>
    </row>
    <row r="208" spans="1:23" ht="15" customHeight="1">
      <c r="A208"/>
      <c r="B208"/>
      <c r="C208"/>
      <c r="D208"/>
      <c r="E208"/>
      <c r="F208"/>
      <c r="G208"/>
      <c r="H208"/>
      <c r="I208"/>
      <c r="J208"/>
      <c r="K208"/>
      <c r="L208"/>
      <c r="M208"/>
      <c r="N208"/>
      <c r="O208"/>
      <c r="P208"/>
      <c r="Q208"/>
      <c r="R208"/>
      <c r="S208"/>
      <c r="T208"/>
      <c r="U208"/>
      <c r="V208"/>
      <c r="W208"/>
    </row>
    <row r="209" spans="1:23" ht="15" customHeight="1">
      <c r="A209"/>
      <c r="B209"/>
      <c r="C209"/>
      <c r="D209"/>
      <c r="E209"/>
      <c r="F209"/>
      <c r="G209"/>
      <c r="H209"/>
      <c r="I209"/>
      <c r="J209"/>
      <c r="K209"/>
      <c r="L209"/>
      <c r="M209"/>
      <c r="N209"/>
      <c r="O209"/>
      <c r="P209"/>
      <c r="Q209"/>
      <c r="R209"/>
      <c r="S209"/>
      <c r="T209"/>
      <c r="U209"/>
      <c r="V209"/>
      <c r="W209"/>
    </row>
    <row r="210" spans="1:23" ht="15" customHeight="1">
      <c r="A210"/>
      <c r="B210"/>
      <c r="C210"/>
      <c r="D210"/>
      <c r="E210"/>
      <c r="F210"/>
      <c r="G210"/>
      <c r="H210"/>
      <c r="I210"/>
      <c r="J210"/>
      <c r="K210"/>
      <c r="L210"/>
      <c r="M210"/>
      <c r="N210"/>
      <c r="O210"/>
      <c r="P210"/>
      <c r="Q210"/>
      <c r="R210"/>
      <c r="S210"/>
      <c r="T210"/>
      <c r="U210"/>
      <c r="V210"/>
      <c r="W210"/>
    </row>
    <row r="211" spans="1:23" ht="15" customHeight="1">
      <c r="A211"/>
      <c r="B211"/>
      <c r="C211"/>
      <c r="D211"/>
      <c r="E211"/>
      <c r="F211"/>
      <c r="G211"/>
      <c r="H211"/>
      <c r="I211"/>
      <c r="J211"/>
      <c r="K211"/>
      <c r="L211"/>
      <c r="M211"/>
      <c r="N211"/>
      <c r="O211"/>
      <c r="P211"/>
      <c r="Q211"/>
      <c r="R211"/>
      <c r="S211"/>
      <c r="T211"/>
      <c r="U211"/>
      <c r="V211"/>
      <c r="W211"/>
    </row>
    <row r="212" spans="1:23" ht="15" customHeight="1">
      <c r="A212"/>
      <c r="B212"/>
      <c r="C212"/>
      <c r="D212"/>
      <c r="E212"/>
      <c r="F212"/>
      <c r="G212"/>
      <c r="H212"/>
      <c r="I212"/>
      <c r="J212"/>
      <c r="K212"/>
      <c r="L212"/>
      <c r="M212"/>
      <c r="N212"/>
      <c r="O212"/>
      <c r="P212"/>
      <c r="Q212"/>
      <c r="R212"/>
      <c r="S212"/>
      <c r="T212"/>
      <c r="U212"/>
      <c r="V212"/>
      <c r="W212"/>
    </row>
    <row r="213" spans="1:23" ht="15" customHeight="1">
      <c r="A213"/>
      <c r="B213"/>
      <c r="C213"/>
      <c r="D213"/>
      <c r="E213"/>
      <c r="F213"/>
      <c r="G213"/>
      <c r="H213"/>
      <c r="I213"/>
      <c r="J213"/>
      <c r="K213"/>
      <c r="L213"/>
      <c r="M213"/>
      <c r="N213"/>
      <c r="O213"/>
      <c r="P213"/>
      <c r="Q213"/>
      <c r="R213"/>
      <c r="S213"/>
      <c r="T213"/>
      <c r="U213"/>
      <c r="V213"/>
      <c r="W213"/>
    </row>
    <row r="214" spans="1:23" ht="15" customHeight="1">
      <c r="A214"/>
      <c r="B214"/>
      <c r="C214"/>
      <c r="D214"/>
      <c r="E214"/>
      <c r="F214"/>
      <c r="G214"/>
      <c r="H214"/>
      <c r="I214"/>
      <c r="J214"/>
      <c r="K214"/>
      <c r="L214"/>
      <c r="M214"/>
      <c r="N214"/>
      <c r="O214"/>
      <c r="P214"/>
      <c r="Q214"/>
      <c r="R214"/>
      <c r="S214"/>
      <c r="T214"/>
      <c r="U214"/>
      <c r="V214"/>
      <c r="W214"/>
    </row>
    <row r="215" spans="1:23" ht="15" customHeight="1">
      <c r="A215"/>
      <c r="B215"/>
      <c r="C215"/>
      <c r="D215"/>
      <c r="E215"/>
      <c r="F215"/>
      <c r="G215"/>
      <c r="H215"/>
      <c r="I215"/>
      <c r="J215"/>
      <c r="K215"/>
      <c r="L215"/>
      <c r="M215"/>
      <c r="N215"/>
      <c r="O215"/>
      <c r="P215"/>
      <c r="Q215"/>
      <c r="R215"/>
      <c r="S215"/>
      <c r="T215"/>
      <c r="U215"/>
      <c r="V215"/>
      <c r="W215"/>
    </row>
    <row r="216" spans="1:23" ht="15" customHeight="1">
      <c r="A216"/>
      <c r="B216"/>
      <c r="C216"/>
      <c r="D216"/>
      <c r="E216"/>
      <c r="F216"/>
      <c r="G216"/>
      <c r="H216"/>
      <c r="I216"/>
      <c r="J216"/>
      <c r="K216"/>
      <c r="L216"/>
      <c r="M216"/>
      <c r="N216"/>
      <c r="O216"/>
      <c r="P216"/>
      <c r="Q216"/>
      <c r="R216"/>
      <c r="S216"/>
      <c r="T216"/>
      <c r="U216"/>
      <c r="V216"/>
      <c r="W216"/>
    </row>
    <row r="217" spans="1:23" ht="15" customHeight="1">
      <c r="A217"/>
      <c r="B217"/>
      <c r="C217"/>
      <c r="D217"/>
      <c r="E217"/>
      <c r="F217"/>
      <c r="G217"/>
      <c r="H217"/>
      <c r="I217"/>
      <c r="J217"/>
      <c r="K217"/>
      <c r="L217"/>
      <c r="M217"/>
      <c r="N217"/>
      <c r="O217"/>
      <c r="P217"/>
      <c r="Q217"/>
      <c r="R217"/>
      <c r="S217"/>
      <c r="T217"/>
      <c r="U217"/>
      <c r="V217"/>
      <c r="W217"/>
    </row>
    <row r="218" spans="1:23" ht="15" customHeight="1">
      <c r="A218"/>
      <c r="B218"/>
      <c r="C218"/>
      <c r="D218"/>
      <c r="E218"/>
      <c r="F218"/>
      <c r="G218"/>
      <c r="H218"/>
      <c r="I218"/>
      <c r="J218"/>
      <c r="K218"/>
      <c r="L218"/>
      <c r="M218"/>
      <c r="N218"/>
      <c r="O218"/>
      <c r="P218"/>
      <c r="Q218"/>
      <c r="R218"/>
      <c r="S218"/>
      <c r="T218"/>
      <c r="U218"/>
      <c r="V218"/>
      <c r="W218"/>
    </row>
    <row r="219" spans="1:23" ht="15" customHeight="1">
      <c r="A219"/>
      <c r="B219"/>
      <c r="C219"/>
      <c r="D219"/>
      <c r="E219"/>
      <c r="F219"/>
      <c r="G219"/>
      <c r="H219"/>
      <c r="I219"/>
      <c r="J219"/>
      <c r="K219"/>
      <c r="L219"/>
      <c r="M219"/>
      <c r="N219"/>
      <c r="O219"/>
      <c r="P219"/>
      <c r="Q219"/>
      <c r="R219"/>
      <c r="S219"/>
      <c r="T219"/>
      <c r="U219"/>
      <c r="V219"/>
      <c r="W219"/>
    </row>
    <row r="220" spans="1:23" ht="15" customHeight="1">
      <c r="A220"/>
      <c r="B220"/>
      <c r="C220"/>
      <c r="D220"/>
      <c r="E220"/>
      <c r="F220"/>
      <c r="G220"/>
      <c r="H220"/>
      <c r="I220"/>
      <c r="J220"/>
      <c r="K220"/>
      <c r="L220"/>
      <c r="M220"/>
      <c r="N220"/>
      <c r="O220"/>
      <c r="P220"/>
      <c r="Q220"/>
      <c r="R220"/>
      <c r="S220"/>
      <c r="T220"/>
      <c r="U220"/>
      <c r="V220"/>
      <c r="W220"/>
    </row>
    <row r="221" spans="1:23" ht="15" customHeight="1">
      <c r="A221"/>
      <c r="B221"/>
      <c r="C221"/>
      <c r="D221"/>
      <c r="E221"/>
      <c r="F221"/>
      <c r="G221"/>
      <c r="H221"/>
      <c r="I221"/>
      <c r="J221"/>
      <c r="K221"/>
      <c r="L221"/>
      <c r="M221"/>
      <c r="N221"/>
      <c r="O221"/>
      <c r="P221"/>
      <c r="Q221"/>
      <c r="R221"/>
      <c r="S221"/>
      <c r="T221"/>
      <c r="U221"/>
      <c r="V221"/>
      <c r="W221"/>
    </row>
    <row r="222" spans="1:23" ht="15" customHeight="1">
      <c r="A222"/>
      <c r="B222"/>
      <c r="C222"/>
      <c r="D222"/>
      <c r="E222"/>
      <c r="F222"/>
      <c r="G222"/>
      <c r="H222"/>
      <c r="I222"/>
      <c r="J222"/>
      <c r="K222"/>
      <c r="L222"/>
      <c r="M222"/>
      <c r="N222"/>
      <c r="O222"/>
      <c r="P222"/>
      <c r="Q222"/>
      <c r="R222"/>
      <c r="S222"/>
      <c r="T222"/>
      <c r="U222"/>
      <c r="V222"/>
      <c r="W222"/>
    </row>
    <row r="223" spans="1:23" ht="15" customHeight="1">
      <c r="A223"/>
      <c r="B223"/>
      <c r="C223"/>
      <c r="D223"/>
      <c r="E223"/>
      <c r="F223"/>
      <c r="G223"/>
      <c r="H223"/>
      <c r="I223"/>
      <c r="J223"/>
      <c r="K223"/>
      <c r="L223"/>
      <c r="M223"/>
      <c r="N223"/>
      <c r="O223"/>
      <c r="P223"/>
      <c r="Q223"/>
      <c r="R223"/>
      <c r="S223"/>
      <c r="T223"/>
      <c r="U223"/>
      <c r="V223"/>
      <c r="W223"/>
    </row>
    <row r="224" spans="1:23" ht="15" customHeight="1">
      <c r="A224"/>
      <c r="B224"/>
      <c r="C224"/>
      <c r="D224"/>
      <c r="E224"/>
      <c r="F224"/>
      <c r="G224"/>
      <c r="H224"/>
      <c r="I224"/>
      <c r="J224"/>
      <c r="K224"/>
      <c r="L224"/>
      <c r="M224"/>
      <c r="N224"/>
      <c r="O224"/>
      <c r="P224"/>
      <c r="Q224"/>
      <c r="R224"/>
      <c r="S224"/>
      <c r="T224"/>
      <c r="U224"/>
      <c r="V224"/>
      <c r="W224"/>
    </row>
    <row r="225" spans="1:23" ht="15" customHeight="1">
      <c r="A225"/>
      <c r="B225"/>
      <c r="C225"/>
      <c r="D225"/>
      <c r="E225"/>
      <c r="F225"/>
      <c r="G225"/>
      <c r="H225"/>
      <c r="I225"/>
      <c r="J225"/>
      <c r="K225"/>
      <c r="L225"/>
      <c r="M225"/>
      <c r="N225"/>
      <c r="O225"/>
      <c r="P225"/>
      <c r="Q225"/>
      <c r="R225"/>
      <c r="S225"/>
      <c r="T225"/>
      <c r="U225"/>
      <c r="V225"/>
      <c r="W225"/>
    </row>
    <row r="226" spans="1:23" ht="15" customHeight="1">
      <c r="A226"/>
      <c r="B226"/>
      <c r="C226"/>
      <c r="D226"/>
      <c r="E226"/>
      <c r="F226"/>
      <c r="G226"/>
      <c r="H226"/>
      <c r="I226"/>
      <c r="J226"/>
      <c r="K226"/>
      <c r="L226"/>
      <c r="M226"/>
      <c r="N226"/>
      <c r="O226"/>
      <c r="P226"/>
      <c r="Q226"/>
      <c r="R226"/>
      <c r="S226"/>
      <c r="T226"/>
      <c r="U226"/>
      <c r="V226"/>
      <c r="W226"/>
    </row>
    <row r="227" spans="1:23" ht="15" customHeight="1">
      <c r="A227"/>
      <c r="B227"/>
      <c r="C227"/>
      <c r="D227"/>
      <c r="E227"/>
      <c r="F227"/>
      <c r="G227"/>
      <c r="H227"/>
      <c r="I227"/>
      <c r="J227"/>
      <c r="K227"/>
      <c r="L227"/>
      <c r="M227"/>
      <c r="N227"/>
      <c r="O227"/>
      <c r="P227"/>
      <c r="Q227"/>
      <c r="R227"/>
      <c r="S227"/>
      <c r="T227"/>
      <c r="U227"/>
      <c r="V227"/>
      <c r="W227"/>
    </row>
    <row r="228" spans="1:23" ht="15" customHeight="1">
      <c r="A228"/>
      <c r="B228"/>
      <c r="C228"/>
      <c r="D228"/>
      <c r="E228"/>
      <c r="F228"/>
      <c r="G228"/>
      <c r="H228"/>
      <c r="I228"/>
      <c r="J228"/>
      <c r="K228"/>
      <c r="L228"/>
      <c r="M228"/>
      <c r="N228"/>
      <c r="O228"/>
      <c r="P228"/>
      <c r="Q228"/>
      <c r="R228"/>
      <c r="S228"/>
      <c r="T228"/>
      <c r="U228"/>
      <c r="V228"/>
      <c r="W228"/>
    </row>
    <row r="229" spans="1:23" ht="15" customHeight="1">
      <c r="A229"/>
      <c r="B229"/>
      <c r="C229"/>
      <c r="D229"/>
      <c r="E229"/>
      <c r="F229"/>
      <c r="G229"/>
      <c r="H229"/>
      <c r="I229"/>
      <c r="J229"/>
      <c r="K229"/>
      <c r="L229"/>
      <c r="M229"/>
      <c r="N229"/>
      <c r="O229"/>
      <c r="P229"/>
      <c r="Q229"/>
      <c r="R229"/>
      <c r="S229"/>
      <c r="T229"/>
      <c r="U229"/>
      <c r="V229"/>
      <c r="W229"/>
    </row>
    <row r="230" spans="1:23" ht="15" customHeight="1">
      <c r="A230"/>
      <c r="B230"/>
      <c r="C230"/>
      <c r="D230"/>
      <c r="E230"/>
      <c r="F230"/>
      <c r="G230"/>
      <c r="H230"/>
      <c r="I230"/>
      <c r="J230"/>
      <c r="K230"/>
      <c r="L230"/>
      <c r="M230"/>
      <c r="N230"/>
      <c r="O230"/>
      <c r="P230"/>
      <c r="Q230"/>
      <c r="R230"/>
      <c r="S230"/>
      <c r="T230"/>
      <c r="U230"/>
      <c r="V230"/>
      <c r="W230"/>
    </row>
    <row r="231" spans="1:23" ht="15" customHeight="1">
      <c r="A231"/>
      <c r="B231"/>
      <c r="C231"/>
      <c r="D231"/>
      <c r="E231"/>
      <c r="F231"/>
      <c r="G231"/>
      <c r="H231"/>
      <c r="I231"/>
      <c r="J231"/>
      <c r="K231"/>
      <c r="L231"/>
      <c r="M231"/>
      <c r="N231"/>
      <c r="O231"/>
      <c r="P231"/>
      <c r="Q231"/>
      <c r="R231"/>
      <c r="S231"/>
      <c r="T231"/>
      <c r="U231"/>
      <c r="V231"/>
      <c r="W231"/>
    </row>
    <row r="232" spans="1:23" ht="15" customHeight="1">
      <c r="A232"/>
      <c r="B232"/>
      <c r="C232"/>
      <c r="D232"/>
      <c r="E232"/>
      <c r="F232"/>
      <c r="G232"/>
      <c r="H232"/>
      <c r="I232"/>
      <c r="J232"/>
      <c r="K232"/>
      <c r="L232"/>
      <c r="M232"/>
      <c r="N232"/>
      <c r="O232"/>
      <c r="P232"/>
      <c r="Q232"/>
      <c r="R232"/>
      <c r="S232"/>
      <c r="T232"/>
      <c r="U232"/>
      <c r="V232"/>
      <c r="W232"/>
    </row>
    <row r="233" spans="1:23" ht="15" customHeight="1">
      <c r="A233"/>
      <c r="B233"/>
      <c r="C233"/>
      <c r="D233"/>
      <c r="E233"/>
      <c r="F233"/>
      <c r="G233"/>
      <c r="H233"/>
      <c r="I233"/>
      <c r="J233"/>
      <c r="K233"/>
      <c r="L233"/>
      <c r="M233"/>
      <c r="N233"/>
      <c r="O233"/>
      <c r="P233"/>
      <c r="Q233"/>
      <c r="R233"/>
      <c r="S233"/>
      <c r="T233"/>
      <c r="U233"/>
      <c r="V233"/>
      <c r="W233"/>
    </row>
    <row r="234" spans="1:23" ht="15" customHeight="1">
      <c r="A234"/>
      <c r="B234"/>
      <c r="C234"/>
      <c r="D234"/>
      <c r="E234"/>
      <c r="F234"/>
      <c r="G234"/>
      <c r="H234"/>
      <c r="I234"/>
      <c r="J234"/>
      <c r="K234"/>
      <c r="L234"/>
      <c r="M234"/>
      <c r="N234"/>
      <c r="O234"/>
      <c r="P234"/>
      <c r="Q234"/>
      <c r="R234"/>
      <c r="S234"/>
      <c r="T234"/>
      <c r="U234"/>
      <c r="V234"/>
      <c r="W234"/>
    </row>
    <row r="235" spans="1:23" ht="15" customHeight="1">
      <c r="A235"/>
      <c r="B235"/>
      <c r="C235"/>
      <c r="D235"/>
      <c r="E235"/>
      <c r="F235"/>
      <c r="G235"/>
      <c r="H235"/>
      <c r="I235"/>
      <c r="J235"/>
      <c r="K235"/>
      <c r="L235"/>
      <c r="M235"/>
      <c r="N235"/>
      <c r="O235"/>
      <c r="P235"/>
      <c r="Q235"/>
      <c r="R235"/>
      <c r="S235"/>
      <c r="T235"/>
      <c r="U235"/>
      <c r="V235"/>
      <c r="W235"/>
    </row>
    <row r="236" spans="1:23" ht="15" customHeight="1">
      <c r="A236"/>
      <c r="B236"/>
      <c r="C236"/>
      <c r="D236"/>
      <c r="E236"/>
      <c r="F236"/>
      <c r="G236"/>
      <c r="H236"/>
      <c r="I236"/>
      <c r="J236"/>
      <c r="K236"/>
      <c r="L236"/>
      <c r="M236"/>
      <c r="N236"/>
      <c r="O236"/>
      <c r="P236"/>
      <c r="Q236"/>
      <c r="R236"/>
      <c r="S236"/>
      <c r="T236"/>
      <c r="U236"/>
      <c r="V236"/>
      <c r="W236"/>
    </row>
    <row r="237" spans="1:23" ht="15" customHeight="1">
      <c r="A237"/>
      <c r="B237"/>
      <c r="C237"/>
      <c r="D237"/>
      <c r="E237"/>
      <c r="F237"/>
      <c r="G237"/>
      <c r="H237"/>
      <c r="I237"/>
      <c r="J237"/>
      <c r="K237"/>
      <c r="L237"/>
      <c r="M237"/>
      <c r="N237"/>
      <c r="O237"/>
      <c r="P237"/>
      <c r="Q237"/>
      <c r="R237"/>
      <c r="S237"/>
      <c r="T237"/>
      <c r="U237"/>
      <c r="V237"/>
      <c r="W237"/>
    </row>
    <row r="238" spans="1:23" ht="15" customHeight="1">
      <c r="A238"/>
      <c r="B238"/>
      <c r="C238"/>
      <c r="D238"/>
      <c r="E238"/>
      <c r="F238"/>
      <c r="G238"/>
      <c r="H238"/>
      <c r="I238"/>
      <c r="J238"/>
      <c r="K238"/>
      <c r="L238"/>
      <c r="M238"/>
      <c r="N238"/>
      <c r="O238"/>
      <c r="P238"/>
      <c r="Q238"/>
      <c r="R238"/>
      <c r="S238"/>
      <c r="T238"/>
      <c r="U238"/>
      <c r="V238"/>
      <c r="W238"/>
    </row>
    <row r="239" spans="1:23" ht="15" customHeight="1">
      <c r="A239"/>
      <c r="B239"/>
      <c r="C239"/>
      <c r="D239"/>
      <c r="E239"/>
      <c r="F239"/>
      <c r="G239"/>
      <c r="H239"/>
      <c r="I239"/>
      <c r="J239"/>
      <c r="K239"/>
      <c r="L239"/>
      <c r="M239"/>
      <c r="N239"/>
      <c r="O239"/>
      <c r="P239"/>
      <c r="Q239"/>
      <c r="R239"/>
      <c r="S239"/>
      <c r="T239"/>
      <c r="U239"/>
      <c r="V239"/>
      <c r="W239"/>
    </row>
    <row r="240" spans="1:23" ht="15" customHeight="1">
      <c r="A240"/>
      <c r="B240"/>
      <c r="C240"/>
      <c r="D240"/>
      <c r="E240"/>
      <c r="F240"/>
      <c r="G240"/>
      <c r="H240"/>
      <c r="I240"/>
      <c r="J240"/>
      <c r="K240"/>
      <c r="L240"/>
      <c r="M240"/>
      <c r="N240"/>
      <c r="O240"/>
      <c r="P240"/>
      <c r="Q240"/>
      <c r="R240"/>
      <c r="S240"/>
      <c r="T240"/>
      <c r="U240"/>
      <c r="V240"/>
      <c r="W240"/>
    </row>
    <row r="241" spans="1:23" ht="15" customHeight="1">
      <c r="A241"/>
      <c r="B241"/>
      <c r="C241"/>
      <c r="D241"/>
      <c r="E241"/>
      <c r="F241"/>
      <c r="G241"/>
      <c r="H241"/>
      <c r="I241"/>
      <c r="J241"/>
      <c r="K241"/>
      <c r="L241"/>
      <c r="M241"/>
      <c r="N241"/>
      <c r="O241"/>
      <c r="P241"/>
      <c r="Q241"/>
      <c r="R241"/>
      <c r="S241"/>
      <c r="T241"/>
      <c r="U241"/>
      <c r="V241"/>
      <c r="W241"/>
    </row>
    <row r="242" spans="1:23" ht="15" customHeight="1">
      <c r="A242"/>
      <c r="B242"/>
      <c r="C242"/>
      <c r="D242"/>
      <c r="E242"/>
      <c r="F242"/>
      <c r="G242"/>
      <c r="H242"/>
      <c r="I242"/>
      <c r="J242"/>
      <c r="K242"/>
      <c r="L242"/>
      <c r="M242"/>
      <c r="N242"/>
      <c r="O242"/>
      <c r="P242"/>
      <c r="Q242"/>
      <c r="R242"/>
      <c r="S242"/>
      <c r="T242"/>
      <c r="U242"/>
      <c r="V242"/>
      <c r="W242"/>
    </row>
    <row r="243" ht="15" customHeight="1">
      <c r="B243" s="34"/>
    </row>
    <row r="244" ht="15" customHeight="1">
      <c r="B244" s="34"/>
    </row>
    <row r="245" ht="15" customHeight="1">
      <c r="B245" s="34"/>
    </row>
    <row r="246" ht="15" customHeight="1">
      <c r="B246" s="34"/>
    </row>
    <row r="247" ht="15" customHeight="1">
      <c r="B247" s="34"/>
    </row>
    <row r="248" ht="15" customHeight="1">
      <c r="B248" s="34"/>
    </row>
    <row r="249" ht="15" customHeight="1">
      <c r="B249" s="34"/>
    </row>
    <row r="250" ht="15" customHeight="1">
      <c r="B250" s="34"/>
    </row>
    <row r="251" ht="15" customHeight="1">
      <c r="B251" s="34"/>
    </row>
    <row r="252" ht="15" customHeight="1">
      <c r="B252" s="34"/>
    </row>
    <row r="253" ht="15" customHeight="1">
      <c r="B253" s="34"/>
    </row>
    <row r="254" ht="15" customHeight="1">
      <c r="B254" s="34"/>
    </row>
    <row r="255" ht="15" customHeight="1">
      <c r="B255" s="34"/>
    </row>
    <row r="256" ht="15" customHeight="1">
      <c r="B256" s="34"/>
    </row>
    <row r="257" ht="15" customHeight="1">
      <c r="B257" s="34"/>
    </row>
    <row r="258" ht="15" customHeight="1">
      <c r="B258" s="34"/>
    </row>
    <row r="259" ht="15" customHeight="1">
      <c r="B259" s="34"/>
    </row>
    <row r="260" ht="15" customHeight="1">
      <c r="B260" s="34"/>
    </row>
    <row r="261" ht="15" customHeight="1">
      <c r="B261" s="34"/>
    </row>
    <row r="262" ht="15" customHeight="1">
      <c r="B262" s="34"/>
    </row>
    <row r="263" ht="15" customHeight="1">
      <c r="B263" s="34"/>
    </row>
    <row r="264" ht="15" customHeight="1">
      <c r="B264" s="34"/>
    </row>
    <row r="265" ht="15" customHeight="1">
      <c r="B265" s="34"/>
    </row>
    <row r="266" ht="15" customHeight="1">
      <c r="B266" s="34"/>
    </row>
    <row r="267" ht="15" customHeight="1">
      <c r="B267" s="34"/>
    </row>
    <row r="268" ht="15" customHeight="1">
      <c r="B268" s="34"/>
    </row>
    <row r="269" ht="15" customHeight="1">
      <c r="B269" s="34"/>
    </row>
    <row r="270" ht="15" customHeight="1">
      <c r="B270" s="34"/>
    </row>
    <row r="271" ht="15" customHeight="1">
      <c r="B271" s="34"/>
    </row>
    <row r="272" ht="15" customHeight="1">
      <c r="B272" s="34"/>
    </row>
    <row r="273" ht="15" customHeight="1">
      <c r="B273" s="34"/>
    </row>
    <row r="274" ht="15" customHeight="1">
      <c r="B274" s="34"/>
    </row>
    <row r="275" ht="15" customHeight="1">
      <c r="B275" s="34"/>
    </row>
    <row r="276" ht="15" customHeight="1">
      <c r="B276" s="34"/>
    </row>
    <row r="277" ht="15" customHeight="1">
      <c r="B277" s="34"/>
    </row>
    <row r="278" ht="15" customHeight="1">
      <c r="B278" s="34"/>
    </row>
    <row r="279" ht="15" customHeight="1">
      <c r="B279" s="34"/>
    </row>
    <row r="280" ht="15" customHeight="1">
      <c r="B280" s="34"/>
    </row>
    <row r="281" ht="15" customHeight="1">
      <c r="B281" s="34"/>
    </row>
    <row r="282" ht="15" customHeight="1">
      <c r="B282" s="34"/>
    </row>
    <row r="283" ht="15" customHeight="1">
      <c r="B283" s="34"/>
    </row>
    <row r="284" ht="15" customHeight="1">
      <c r="B284" s="34"/>
    </row>
    <row r="285" ht="15" customHeight="1">
      <c r="B285" s="34"/>
    </row>
    <row r="286" ht="15" customHeight="1">
      <c r="B286" s="34"/>
    </row>
    <row r="287" ht="15" customHeight="1">
      <c r="B287" s="34"/>
    </row>
    <row r="288" ht="15" customHeight="1">
      <c r="B288" s="34"/>
    </row>
    <row r="289" ht="15" customHeight="1">
      <c r="B289" s="34"/>
    </row>
    <row r="290" ht="15" customHeight="1">
      <c r="B290" s="34"/>
    </row>
    <row r="291" ht="15" customHeight="1">
      <c r="B291" s="34"/>
    </row>
    <row r="292" ht="15" customHeight="1">
      <c r="B292" s="34"/>
    </row>
    <row r="293" ht="15" customHeight="1">
      <c r="B293" s="34"/>
    </row>
    <row r="294" ht="15" customHeight="1">
      <c r="B294" s="34"/>
    </row>
    <row r="295" ht="15" customHeight="1">
      <c r="B295" s="34"/>
    </row>
    <row r="296" ht="15" customHeight="1">
      <c r="B296" s="34"/>
    </row>
    <row r="297" ht="15" customHeight="1">
      <c r="B297" s="34"/>
    </row>
    <row r="298" ht="15" customHeight="1">
      <c r="B298" s="34"/>
    </row>
    <row r="299" ht="15" customHeight="1">
      <c r="B299" s="34"/>
    </row>
    <row r="300" ht="15" customHeight="1">
      <c r="B300" s="34"/>
    </row>
    <row r="301" ht="15" customHeight="1">
      <c r="B301" s="34"/>
    </row>
    <row r="302" ht="15" customHeight="1">
      <c r="B302" s="34"/>
    </row>
    <row r="303" ht="15" customHeight="1">
      <c r="B303" s="34"/>
    </row>
    <row r="304" ht="15" customHeight="1">
      <c r="B304" s="34"/>
    </row>
    <row r="305" ht="15" customHeight="1">
      <c r="B305" s="34"/>
    </row>
    <row r="306" ht="15" customHeight="1">
      <c r="B306" s="34"/>
    </row>
    <row r="307" ht="15" customHeight="1">
      <c r="B307" s="34"/>
    </row>
    <row r="308" ht="15" customHeight="1">
      <c r="B308" s="34"/>
    </row>
    <row r="309" ht="15" customHeight="1">
      <c r="B309" s="34"/>
    </row>
    <row r="310" ht="15" customHeight="1">
      <c r="B310" s="34"/>
    </row>
    <row r="311" ht="15" customHeight="1">
      <c r="B311" s="34"/>
    </row>
    <row r="312" ht="15" customHeight="1">
      <c r="B312" s="34"/>
    </row>
    <row r="313" ht="15" customHeight="1">
      <c r="B313" s="34"/>
    </row>
    <row r="314" ht="15" customHeight="1">
      <c r="B314" s="34"/>
    </row>
    <row r="315" ht="15" customHeight="1">
      <c r="B315" s="34"/>
    </row>
    <row r="316" ht="15" customHeight="1">
      <c r="B316" s="34"/>
    </row>
    <row r="317" ht="15" customHeight="1">
      <c r="B317" s="34"/>
    </row>
    <row r="318" ht="15" customHeight="1">
      <c r="B318" s="34"/>
    </row>
    <row r="319" ht="15" customHeight="1">
      <c r="B319" s="34"/>
    </row>
    <row r="320" ht="15" customHeight="1">
      <c r="B320" s="34"/>
    </row>
    <row r="321" ht="15" customHeight="1">
      <c r="B321" s="34"/>
    </row>
    <row r="322" ht="15" customHeight="1">
      <c r="B322" s="34"/>
    </row>
    <row r="323" ht="15" customHeight="1">
      <c r="B323" s="34"/>
    </row>
    <row r="324" ht="15" customHeight="1">
      <c r="B324" s="34"/>
    </row>
    <row r="325" ht="15" customHeight="1">
      <c r="B325" s="34"/>
    </row>
    <row r="326" ht="15" customHeight="1">
      <c r="B326" s="34"/>
    </row>
    <row r="327" ht="15" customHeight="1">
      <c r="B327" s="34"/>
    </row>
    <row r="328" ht="15" customHeight="1">
      <c r="B328" s="34"/>
    </row>
    <row r="329" ht="15" customHeight="1">
      <c r="B329" s="34"/>
    </row>
    <row r="330" spans="2:93" ht="15" customHeight="1">
      <c r="B330" s="34"/>
      <c r="CC330"/>
      <c r="CD330"/>
      <c r="CE330"/>
      <c r="CF330"/>
      <c r="CG330"/>
      <c r="CH330"/>
      <c r="CI330"/>
      <c r="CJ330"/>
      <c r="CK330"/>
      <c r="CL330"/>
      <c r="CM330"/>
      <c r="CN330"/>
      <c r="CO330"/>
    </row>
    <row r="331" spans="2:93" ht="15" customHeight="1">
      <c r="B331" s="34"/>
      <c r="CC331"/>
      <c r="CD331"/>
      <c r="CE331"/>
      <c r="CF331"/>
      <c r="CG331"/>
      <c r="CH331"/>
      <c r="CI331"/>
      <c r="CJ331"/>
      <c r="CK331"/>
      <c r="CL331"/>
      <c r="CM331"/>
      <c r="CN331"/>
      <c r="CO331"/>
    </row>
    <row r="332" spans="2:93" ht="15" customHeight="1">
      <c r="B332" s="34"/>
      <c r="CC332"/>
      <c r="CD332"/>
      <c r="CE332"/>
      <c r="CF332"/>
      <c r="CG332"/>
      <c r="CH332"/>
      <c r="CI332"/>
      <c r="CJ332"/>
      <c r="CK332"/>
      <c r="CL332"/>
      <c r="CM332"/>
      <c r="CN332"/>
      <c r="CO332"/>
    </row>
    <row r="333" spans="2:93" ht="15" customHeight="1">
      <c r="B333" s="34"/>
      <c r="CC333"/>
      <c r="CD333"/>
      <c r="CE333"/>
      <c r="CF333"/>
      <c r="CG333"/>
      <c r="CH333"/>
      <c r="CI333"/>
      <c r="CJ333"/>
      <c r="CK333"/>
      <c r="CL333"/>
      <c r="CM333"/>
      <c r="CN333"/>
      <c r="CO333"/>
    </row>
    <row r="334" spans="2:93" ht="15" customHeight="1">
      <c r="B334" s="34"/>
      <c r="CC334"/>
      <c r="CD334"/>
      <c r="CE334"/>
      <c r="CF334"/>
      <c r="CG334"/>
      <c r="CH334"/>
      <c r="CI334"/>
      <c r="CJ334"/>
      <c r="CK334"/>
      <c r="CL334"/>
      <c r="CM334"/>
      <c r="CN334"/>
      <c r="CO334"/>
    </row>
    <row r="335" spans="2:93" ht="15" customHeight="1">
      <c r="B335" s="34"/>
      <c r="CC335"/>
      <c r="CD335"/>
      <c r="CE335"/>
      <c r="CF335"/>
      <c r="CG335"/>
      <c r="CH335"/>
      <c r="CI335"/>
      <c r="CJ335"/>
      <c r="CK335"/>
      <c r="CL335"/>
      <c r="CM335"/>
      <c r="CN335"/>
      <c r="CO335"/>
    </row>
    <row r="336" spans="2:93" ht="15" customHeight="1">
      <c r="B336" s="34"/>
      <c r="CC336"/>
      <c r="CD336"/>
      <c r="CE336"/>
      <c r="CF336"/>
      <c r="CG336"/>
      <c r="CH336"/>
      <c r="CI336"/>
      <c r="CJ336"/>
      <c r="CK336"/>
      <c r="CL336"/>
      <c r="CM336"/>
      <c r="CN336"/>
      <c r="CO336"/>
    </row>
    <row r="337" spans="2:93" ht="15" customHeight="1">
      <c r="B337" s="34"/>
      <c r="CC337"/>
      <c r="CD337"/>
      <c r="CE337"/>
      <c r="CF337"/>
      <c r="CG337"/>
      <c r="CH337"/>
      <c r="CI337"/>
      <c r="CJ337"/>
      <c r="CK337"/>
      <c r="CL337"/>
      <c r="CM337"/>
      <c r="CN337"/>
      <c r="CO337"/>
    </row>
    <row r="338" spans="2:93" ht="15" customHeight="1">
      <c r="B338" s="34"/>
      <c r="CC338"/>
      <c r="CD338"/>
      <c r="CE338"/>
      <c r="CF338"/>
      <c r="CG338"/>
      <c r="CH338"/>
      <c r="CI338"/>
      <c r="CJ338"/>
      <c r="CK338"/>
      <c r="CL338"/>
      <c r="CM338"/>
      <c r="CN338"/>
      <c r="CO338"/>
    </row>
    <row r="339" spans="2:93" ht="15" customHeight="1">
      <c r="B339" s="34"/>
      <c r="CC339"/>
      <c r="CD339"/>
      <c r="CE339"/>
      <c r="CF339"/>
      <c r="CG339"/>
      <c r="CH339"/>
      <c r="CI339"/>
      <c r="CJ339"/>
      <c r="CK339"/>
      <c r="CL339"/>
      <c r="CM339"/>
      <c r="CN339"/>
      <c r="CO339"/>
    </row>
    <row r="340" spans="2:93" ht="15" customHeight="1">
      <c r="B340" s="34"/>
      <c r="CC340"/>
      <c r="CD340"/>
      <c r="CE340"/>
      <c r="CF340"/>
      <c r="CG340"/>
      <c r="CH340"/>
      <c r="CI340"/>
      <c r="CJ340"/>
      <c r="CK340"/>
      <c r="CL340"/>
      <c r="CM340"/>
      <c r="CN340"/>
      <c r="CO340"/>
    </row>
    <row r="341" spans="2:93" ht="15" customHeight="1">
      <c r="B341" s="34"/>
      <c r="CC341"/>
      <c r="CD341"/>
      <c r="CE341"/>
      <c r="CF341"/>
      <c r="CG341"/>
      <c r="CH341"/>
      <c r="CI341"/>
      <c r="CJ341"/>
      <c r="CK341"/>
      <c r="CL341"/>
      <c r="CM341"/>
      <c r="CN341"/>
      <c r="CO341"/>
    </row>
    <row r="342" spans="2:93" ht="15" customHeight="1">
      <c r="B342" s="34"/>
      <c r="CC342"/>
      <c r="CD342"/>
      <c r="CE342"/>
      <c r="CF342"/>
      <c r="CG342"/>
      <c r="CH342"/>
      <c r="CI342"/>
      <c r="CJ342"/>
      <c r="CK342"/>
      <c r="CL342"/>
      <c r="CM342"/>
      <c r="CN342"/>
      <c r="CO342"/>
    </row>
    <row r="343" spans="2:93" ht="15" customHeight="1">
      <c r="B343" s="34"/>
      <c r="CC343"/>
      <c r="CD343"/>
      <c r="CE343"/>
      <c r="CF343"/>
      <c r="CG343"/>
      <c r="CH343"/>
      <c r="CI343"/>
      <c r="CJ343"/>
      <c r="CK343"/>
      <c r="CL343"/>
      <c r="CM343"/>
      <c r="CN343"/>
      <c r="CO343"/>
    </row>
    <row r="344" spans="2:93" ht="15" customHeight="1">
      <c r="B344" s="34"/>
      <c r="CC344"/>
      <c r="CD344"/>
      <c r="CE344"/>
      <c r="CF344"/>
      <c r="CG344"/>
      <c r="CH344"/>
      <c r="CI344"/>
      <c r="CJ344"/>
      <c r="CK344"/>
      <c r="CL344"/>
      <c r="CM344"/>
      <c r="CN344"/>
      <c r="CO344"/>
    </row>
    <row r="345" spans="2:93" ht="15" customHeight="1">
      <c r="B345" s="34"/>
      <c r="CC345"/>
      <c r="CD345"/>
      <c r="CE345"/>
      <c r="CF345"/>
      <c r="CG345"/>
      <c r="CH345"/>
      <c r="CI345"/>
      <c r="CJ345"/>
      <c r="CK345"/>
      <c r="CL345"/>
      <c r="CM345"/>
      <c r="CN345"/>
      <c r="CO345"/>
    </row>
    <row r="346" spans="2:93" ht="15" customHeight="1">
      <c r="B346" s="34"/>
      <c r="CC346"/>
      <c r="CD346"/>
      <c r="CE346"/>
      <c r="CF346"/>
      <c r="CG346"/>
      <c r="CH346"/>
      <c r="CI346"/>
      <c r="CJ346"/>
      <c r="CK346"/>
      <c r="CL346"/>
      <c r="CM346"/>
      <c r="CN346"/>
      <c r="CO346"/>
    </row>
    <row r="347" spans="2:93" ht="15" customHeight="1">
      <c r="B347" s="34"/>
      <c r="CC347"/>
      <c r="CD347"/>
      <c r="CE347"/>
      <c r="CF347"/>
      <c r="CG347"/>
      <c r="CH347"/>
      <c r="CI347"/>
      <c r="CJ347"/>
      <c r="CK347"/>
      <c r="CL347"/>
      <c r="CM347"/>
      <c r="CN347"/>
      <c r="CO347"/>
    </row>
    <row r="348" spans="2:93" ht="15" customHeight="1">
      <c r="B348" s="34"/>
      <c r="CC348"/>
      <c r="CD348"/>
      <c r="CE348"/>
      <c r="CF348"/>
      <c r="CG348"/>
      <c r="CH348"/>
      <c r="CI348"/>
      <c r="CJ348"/>
      <c r="CK348"/>
      <c r="CL348"/>
      <c r="CM348"/>
      <c r="CN348"/>
      <c r="CO348"/>
    </row>
    <row r="349" spans="2:93" ht="15" customHeight="1">
      <c r="B349" s="34"/>
      <c r="CC349"/>
      <c r="CD349"/>
      <c r="CE349"/>
      <c r="CF349"/>
      <c r="CG349"/>
      <c r="CH349"/>
      <c r="CI349"/>
      <c r="CJ349"/>
      <c r="CK349"/>
      <c r="CL349"/>
      <c r="CM349"/>
      <c r="CN349"/>
      <c r="CO349"/>
    </row>
    <row r="350" spans="2:93" ht="15" customHeight="1">
      <c r="B350" s="34"/>
      <c r="CC350"/>
      <c r="CD350"/>
      <c r="CE350"/>
      <c r="CF350"/>
      <c r="CG350"/>
      <c r="CH350"/>
      <c r="CI350"/>
      <c r="CJ350"/>
      <c r="CK350"/>
      <c r="CL350"/>
      <c r="CM350"/>
      <c r="CN350"/>
      <c r="CO350"/>
    </row>
    <row r="351" spans="2:93" ht="15" customHeight="1">
      <c r="B351" s="34"/>
      <c r="CC351"/>
      <c r="CD351"/>
      <c r="CE351"/>
      <c r="CF351"/>
      <c r="CG351"/>
      <c r="CH351"/>
      <c r="CI351"/>
      <c r="CJ351"/>
      <c r="CK351"/>
      <c r="CL351"/>
      <c r="CM351"/>
      <c r="CN351"/>
      <c r="CO351"/>
    </row>
    <row r="352" spans="2:93" ht="15" customHeight="1">
      <c r="B352" s="34"/>
      <c r="CC352"/>
      <c r="CD352"/>
      <c r="CE352"/>
      <c r="CF352"/>
      <c r="CG352"/>
      <c r="CH352"/>
      <c r="CI352"/>
      <c r="CJ352"/>
      <c r="CK352"/>
      <c r="CL352"/>
      <c r="CM352"/>
      <c r="CN352"/>
      <c r="CO352"/>
    </row>
    <row r="353" spans="2:93" ht="15" customHeight="1">
      <c r="B353" s="34"/>
      <c r="CC353"/>
      <c r="CD353"/>
      <c r="CE353"/>
      <c r="CF353"/>
      <c r="CG353"/>
      <c r="CH353"/>
      <c r="CI353"/>
      <c r="CJ353"/>
      <c r="CK353"/>
      <c r="CL353"/>
      <c r="CM353"/>
      <c r="CN353"/>
      <c r="CO353"/>
    </row>
    <row r="354" spans="2:93" ht="15" customHeight="1">
      <c r="B354" s="34"/>
      <c r="CC354"/>
      <c r="CD354"/>
      <c r="CE354"/>
      <c r="CF354"/>
      <c r="CG354"/>
      <c r="CH354"/>
      <c r="CI354"/>
      <c r="CJ354"/>
      <c r="CK354"/>
      <c r="CL354"/>
      <c r="CM354"/>
      <c r="CN354"/>
      <c r="CO354"/>
    </row>
    <row r="355" spans="2:93" ht="15" customHeight="1">
      <c r="B355" s="34"/>
      <c r="CC355"/>
      <c r="CD355"/>
      <c r="CE355"/>
      <c r="CF355"/>
      <c r="CG355"/>
      <c r="CH355"/>
      <c r="CI355"/>
      <c r="CJ355"/>
      <c r="CK355"/>
      <c r="CL355"/>
      <c r="CM355"/>
      <c r="CN355"/>
      <c r="CO355"/>
    </row>
    <row r="356" spans="2:93" ht="15" customHeight="1">
      <c r="B356" s="34"/>
      <c r="CC356"/>
      <c r="CD356"/>
      <c r="CE356"/>
      <c r="CF356"/>
      <c r="CG356"/>
      <c r="CH356"/>
      <c r="CI356"/>
      <c r="CJ356"/>
      <c r="CK356"/>
      <c r="CL356"/>
      <c r="CM356"/>
      <c r="CN356"/>
      <c r="CO356"/>
    </row>
    <row r="357" spans="2:93" ht="15" customHeight="1">
      <c r="B357" s="34"/>
      <c r="CC357"/>
      <c r="CD357"/>
      <c r="CE357"/>
      <c r="CF357"/>
      <c r="CG357"/>
      <c r="CH357"/>
      <c r="CI357"/>
      <c r="CJ357"/>
      <c r="CK357"/>
      <c r="CL357"/>
      <c r="CM357"/>
      <c r="CN357"/>
      <c r="CO357"/>
    </row>
    <row r="358" spans="2:93" ht="15" customHeight="1">
      <c r="B358" s="34"/>
      <c r="CC358"/>
      <c r="CD358"/>
      <c r="CE358"/>
      <c r="CF358"/>
      <c r="CG358"/>
      <c r="CH358"/>
      <c r="CI358"/>
      <c r="CJ358"/>
      <c r="CK358"/>
      <c r="CL358"/>
      <c r="CM358"/>
      <c r="CN358"/>
      <c r="CO358"/>
    </row>
    <row r="359" spans="2:93" ht="15" customHeight="1">
      <c r="B359" s="34"/>
      <c r="CC359"/>
      <c r="CD359"/>
      <c r="CE359"/>
      <c r="CF359"/>
      <c r="CG359"/>
      <c r="CH359"/>
      <c r="CI359"/>
      <c r="CJ359"/>
      <c r="CK359"/>
      <c r="CL359"/>
      <c r="CM359"/>
      <c r="CN359"/>
      <c r="CO359"/>
    </row>
    <row r="360" spans="2:93" ht="15" customHeight="1">
      <c r="B360" s="34"/>
      <c r="CC360"/>
      <c r="CD360"/>
      <c r="CE360"/>
      <c r="CF360"/>
      <c r="CG360"/>
      <c r="CH360"/>
      <c r="CI360"/>
      <c r="CJ360"/>
      <c r="CK360"/>
      <c r="CL360"/>
      <c r="CM360"/>
      <c r="CN360"/>
      <c r="CO360"/>
    </row>
    <row r="361" spans="2:93" ht="15" customHeight="1">
      <c r="B361" s="34"/>
      <c r="CC361"/>
      <c r="CD361"/>
      <c r="CE361"/>
      <c r="CF361"/>
      <c r="CG361"/>
      <c r="CH361"/>
      <c r="CI361"/>
      <c r="CJ361"/>
      <c r="CK361"/>
      <c r="CL361"/>
      <c r="CM361"/>
      <c r="CN361"/>
      <c r="CO361"/>
    </row>
    <row r="362" spans="2:93" ht="15" customHeight="1">
      <c r="B362" s="34"/>
      <c r="CC362"/>
      <c r="CD362"/>
      <c r="CE362"/>
      <c r="CF362"/>
      <c r="CG362"/>
      <c r="CH362"/>
      <c r="CI362"/>
      <c r="CJ362"/>
      <c r="CK362"/>
      <c r="CL362"/>
      <c r="CM362"/>
      <c r="CN362"/>
      <c r="CO362"/>
    </row>
    <row r="363" spans="2:93" ht="15" customHeight="1">
      <c r="B363" s="34"/>
      <c r="CC363"/>
      <c r="CD363"/>
      <c r="CE363"/>
      <c r="CF363"/>
      <c r="CG363"/>
      <c r="CH363"/>
      <c r="CI363"/>
      <c r="CJ363"/>
      <c r="CK363"/>
      <c r="CL363"/>
      <c r="CM363"/>
      <c r="CN363"/>
      <c r="CO363"/>
    </row>
    <row r="364" spans="2:93" ht="15" customHeight="1">
      <c r="B364" s="34"/>
      <c r="CC364"/>
      <c r="CD364"/>
      <c r="CE364"/>
      <c r="CF364"/>
      <c r="CG364"/>
      <c r="CH364"/>
      <c r="CI364"/>
      <c r="CJ364"/>
      <c r="CK364"/>
      <c r="CL364"/>
      <c r="CM364"/>
      <c r="CN364"/>
      <c r="CO364"/>
    </row>
    <row r="365" spans="2:93" ht="15" customHeight="1">
      <c r="B365" s="34"/>
      <c r="CC365"/>
      <c r="CD365"/>
      <c r="CE365"/>
      <c r="CF365"/>
      <c r="CG365"/>
      <c r="CH365"/>
      <c r="CI365"/>
      <c r="CJ365"/>
      <c r="CK365"/>
      <c r="CL365"/>
      <c r="CM365"/>
      <c r="CN365"/>
      <c r="CO365"/>
    </row>
    <row r="366" spans="2:93" ht="15" customHeight="1">
      <c r="B366" s="34"/>
      <c r="CC366"/>
      <c r="CD366"/>
      <c r="CE366"/>
      <c r="CF366"/>
      <c r="CG366"/>
      <c r="CH366"/>
      <c r="CI366"/>
      <c r="CJ366"/>
      <c r="CK366"/>
      <c r="CL366"/>
      <c r="CM366"/>
      <c r="CN366"/>
      <c r="CO366"/>
    </row>
    <row r="367" spans="2:93" ht="15" customHeight="1">
      <c r="B367" s="34"/>
      <c r="CC367"/>
      <c r="CD367"/>
      <c r="CE367"/>
      <c r="CF367"/>
      <c r="CG367"/>
      <c r="CH367"/>
      <c r="CI367"/>
      <c r="CJ367"/>
      <c r="CK367"/>
      <c r="CL367"/>
      <c r="CM367"/>
      <c r="CN367"/>
      <c r="CO367"/>
    </row>
    <row r="368" spans="2:93" ht="15" customHeight="1">
      <c r="B368" s="34"/>
      <c r="CC368"/>
      <c r="CD368"/>
      <c r="CE368"/>
      <c r="CF368"/>
      <c r="CG368"/>
      <c r="CH368"/>
      <c r="CI368"/>
      <c r="CJ368"/>
      <c r="CK368"/>
      <c r="CL368"/>
      <c r="CM368"/>
      <c r="CN368"/>
      <c r="CO368"/>
    </row>
    <row r="369" spans="2:93" ht="15" customHeight="1">
      <c r="B369" s="34"/>
      <c r="CC369"/>
      <c r="CD369"/>
      <c r="CE369"/>
      <c r="CF369"/>
      <c r="CG369"/>
      <c r="CH369"/>
      <c r="CI369"/>
      <c r="CJ369"/>
      <c r="CK369"/>
      <c r="CL369"/>
      <c r="CM369"/>
      <c r="CN369"/>
      <c r="CO369"/>
    </row>
    <row r="370" spans="2:93" ht="15" customHeight="1">
      <c r="B370" s="34"/>
      <c r="CC370"/>
      <c r="CD370"/>
      <c r="CE370"/>
      <c r="CF370"/>
      <c r="CG370"/>
      <c r="CH370"/>
      <c r="CI370"/>
      <c r="CJ370"/>
      <c r="CK370"/>
      <c r="CL370"/>
      <c r="CM370"/>
      <c r="CN370"/>
      <c r="CO370"/>
    </row>
    <row r="371" spans="2:93" ht="15" customHeight="1">
      <c r="B371" s="34"/>
      <c r="CC371"/>
      <c r="CD371"/>
      <c r="CE371"/>
      <c r="CF371"/>
      <c r="CG371"/>
      <c r="CH371"/>
      <c r="CI371"/>
      <c r="CJ371"/>
      <c r="CK371"/>
      <c r="CL371"/>
      <c r="CM371"/>
      <c r="CN371"/>
      <c r="CO371"/>
    </row>
    <row r="372" spans="2:93" ht="15" customHeight="1">
      <c r="B372" s="34"/>
      <c r="CC372"/>
      <c r="CD372"/>
      <c r="CE372"/>
      <c r="CF372"/>
      <c r="CG372"/>
      <c r="CH372"/>
      <c r="CI372"/>
      <c r="CJ372"/>
      <c r="CK372"/>
      <c r="CL372"/>
      <c r="CM372"/>
      <c r="CN372"/>
      <c r="CO372"/>
    </row>
    <row r="373" spans="2:93" ht="15" customHeight="1">
      <c r="B373" s="34"/>
      <c r="CC373"/>
      <c r="CD373"/>
      <c r="CE373"/>
      <c r="CF373"/>
      <c r="CG373"/>
      <c r="CH373"/>
      <c r="CI373"/>
      <c r="CJ373"/>
      <c r="CK373"/>
      <c r="CL373"/>
      <c r="CM373"/>
      <c r="CN373"/>
      <c r="CO373"/>
    </row>
    <row r="374" spans="2:93" ht="15" customHeight="1">
      <c r="B374" s="34"/>
      <c r="CC374"/>
      <c r="CD374"/>
      <c r="CE374"/>
      <c r="CF374"/>
      <c r="CG374"/>
      <c r="CH374"/>
      <c r="CI374"/>
      <c r="CJ374"/>
      <c r="CK374"/>
      <c r="CL374"/>
      <c r="CM374"/>
      <c r="CN374"/>
      <c r="CO374"/>
    </row>
    <row r="375" spans="2:93" ht="15" customHeight="1">
      <c r="B375" s="34"/>
      <c r="CC375"/>
      <c r="CD375"/>
      <c r="CE375"/>
      <c r="CF375"/>
      <c r="CG375"/>
      <c r="CH375"/>
      <c r="CI375"/>
      <c r="CJ375"/>
      <c r="CK375"/>
      <c r="CL375"/>
      <c r="CM375"/>
      <c r="CN375"/>
      <c r="CO375"/>
    </row>
    <row r="376" spans="2:93" ht="15" customHeight="1">
      <c r="B376" s="34"/>
      <c r="CC376"/>
      <c r="CD376"/>
      <c r="CE376"/>
      <c r="CF376"/>
      <c r="CG376"/>
      <c r="CH376"/>
      <c r="CI376"/>
      <c r="CJ376"/>
      <c r="CK376"/>
      <c r="CL376"/>
      <c r="CM376"/>
      <c r="CN376"/>
      <c r="CO376"/>
    </row>
    <row r="377" spans="2:93" ht="15" customHeight="1">
      <c r="B377" s="34"/>
      <c r="CC377"/>
      <c r="CD377"/>
      <c r="CE377"/>
      <c r="CF377"/>
      <c r="CG377"/>
      <c r="CH377"/>
      <c r="CI377"/>
      <c r="CJ377"/>
      <c r="CK377"/>
      <c r="CL377"/>
      <c r="CM377"/>
      <c r="CN377"/>
      <c r="CO377"/>
    </row>
    <row r="378" spans="2:93" ht="15" customHeight="1">
      <c r="B378" s="34"/>
      <c r="CC378"/>
      <c r="CD378"/>
      <c r="CE378"/>
      <c r="CF378"/>
      <c r="CG378"/>
      <c r="CH378"/>
      <c r="CI378"/>
      <c r="CJ378"/>
      <c r="CK378"/>
      <c r="CL378"/>
      <c r="CM378"/>
      <c r="CN378"/>
      <c r="CO378"/>
    </row>
    <row r="379" spans="2:93" ht="15" customHeight="1">
      <c r="B379" s="34"/>
      <c r="CC379"/>
      <c r="CD379"/>
      <c r="CE379"/>
      <c r="CF379"/>
      <c r="CG379"/>
      <c r="CH379"/>
      <c r="CI379"/>
      <c r="CJ379"/>
      <c r="CK379"/>
      <c r="CL379"/>
      <c r="CM379"/>
      <c r="CN379"/>
      <c r="CO379"/>
    </row>
    <row r="380" spans="2:93" ht="15" customHeight="1">
      <c r="B380" s="34"/>
      <c r="CC380"/>
      <c r="CD380"/>
      <c r="CE380"/>
      <c r="CF380"/>
      <c r="CG380"/>
      <c r="CH380"/>
      <c r="CI380"/>
      <c r="CJ380"/>
      <c r="CK380"/>
      <c r="CL380"/>
      <c r="CM380"/>
      <c r="CN380"/>
      <c r="CO380"/>
    </row>
    <row r="381" spans="2:93" ht="15" customHeight="1">
      <c r="B381" s="34"/>
      <c r="CC381"/>
      <c r="CD381"/>
      <c r="CE381"/>
      <c r="CF381"/>
      <c r="CG381"/>
      <c r="CH381"/>
      <c r="CI381"/>
      <c r="CJ381"/>
      <c r="CK381"/>
      <c r="CL381"/>
      <c r="CM381"/>
      <c r="CN381"/>
      <c r="CO381"/>
    </row>
    <row r="382" spans="2:93" ht="15" customHeight="1">
      <c r="B382" s="34"/>
      <c r="CC382"/>
      <c r="CD382"/>
      <c r="CE382"/>
      <c r="CF382"/>
      <c r="CG382"/>
      <c r="CH382"/>
      <c r="CI382"/>
      <c r="CJ382"/>
      <c r="CK382"/>
      <c r="CL382"/>
      <c r="CM382"/>
      <c r="CN382"/>
      <c r="CO382"/>
    </row>
    <row r="383" spans="2:93" ht="15" customHeight="1">
      <c r="B383" s="34"/>
      <c r="CC383"/>
      <c r="CD383"/>
      <c r="CE383"/>
      <c r="CF383"/>
      <c r="CG383"/>
      <c r="CH383"/>
      <c r="CI383"/>
      <c r="CJ383"/>
      <c r="CK383"/>
      <c r="CL383"/>
      <c r="CM383"/>
      <c r="CN383"/>
      <c r="CO383"/>
    </row>
    <row r="384" spans="2:93" ht="15" customHeight="1">
      <c r="B384" s="34"/>
      <c r="CC384"/>
      <c r="CD384"/>
      <c r="CE384"/>
      <c r="CF384"/>
      <c r="CG384"/>
      <c r="CH384"/>
      <c r="CI384"/>
      <c r="CJ384"/>
      <c r="CK384"/>
      <c r="CL384"/>
      <c r="CM384"/>
      <c r="CN384"/>
      <c r="CO384"/>
    </row>
    <row r="385" spans="2:93" ht="15" customHeight="1">
      <c r="B385" s="34"/>
      <c r="CC385"/>
      <c r="CD385"/>
      <c r="CE385"/>
      <c r="CF385"/>
      <c r="CG385"/>
      <c r="CH385"/>
      <c r="CI385"/>
      <c r="CJ385"/>
      <c r="CK385"/>
      <c r="CL385"/>
      <c r="CM385"/>
      <c r="CN385"/>
      <c r="CO385"/>
    </row>
    <row r="386" spans="2:93" ht="15" customHeight="1">
      <c r="B386" s="34"/>
      <c r="CC386"/>
      <c r="CD386"/>
      <c r="CE386"/>
      <c r="CF386"/>
      <c r="CG386"/>
      <c r="CH386"/>
      <c r="CI386"/>
      <c r="CJ386"/>
      <c r="CK386"/>
      <c r="CL386"/>
      <c r="CM386"/>
      <c r="CN386"/>
      <c r="CO386"/>
    </row>
    <row r="387" spans="2:93" ht="15" customHeight="1">
      <c r="B387" s="34"/>
      <c r="CC387"/>
      <c r="CD387"/>
      <c r="CE387"/>
      <c r="CF387"/>
      <c r="CG387"/>
      <c r="CH387"/>
      <c r="CI387"/>
      <c r="CJ387"/>
      <c r="CK387"/>
      <c r="CL387"/>
      <c r="CM387"/>
      <c r="CN387"/>
      <c r="CO387"/>
    </row>
    <row r="388" spans="2:93" ht="15" customHeight="1">
      <c r="B388" s="34"/>
      <c r="CC388"/>
      <c r="CD388"/>
      <c r="CE388"/>
      <c r="CF388"/>
      <c r="CG388"/>
      <c r="CH388"/>
      <c r="CI388"/>
      <c r="CJ388"/>
      <c r="CK388"/>
      <c r="CL388"/>
      <c r="CM388"/>
      <c r="CN388"/>
      <c r="CO388"/>
    </row>
    <row r="389" spans="2:93" ht="15" customHeight="1">
      <c r="B389" s="34"/>
      <c r="CC389"/>
      <c r="CD389"/>
      <c r="CE389"/>
      <c r="CF389"/>
      <c r="CG389"/>
      <c r="CH389"/>
      <c r="CI389"/>
      <c r="CJ389"/>
      <c r="CK389"/>
      <c r="CL389"/>
      <c r="CM389"/>
      <c r="CN389"/>
      <c r="CO389"/>
    </row>
    <row r="390" spans="2:93" ht="15" customHeight="1">
      <c r="B390" s="34"/>
      <c r="CC390"/>
      <c r="CD390"/>
      <c r="CE390"/>
      <c r="CF390"/>
      <c r="CG390"/>
      <c r="CH390"/>
      <c r="CI390"/>
      <c r="CJ390"/>
      <c r="CK390"/>
      <c r="CL390"/>
      <c r="CM390"/>
      <c r="CN390"/>
      <c r="CO390"/>
    </row>
    <row r="391" spans="2:93" ht="15" customHeight="1">
      <c r="B391" s="34"/>
      <c r="CC391"/>
      <c r="CD391"/>
      <c r="CE391"/>
      <c r="CF391"/>
      <c r="CG391"/>
      <c r="CH391"/>
      <c r="CI391"/>
      <c r="CJ391"/>
      <c r="CK391"/>
      <c r="CL391"/>
      <c r="CM391"/>
      <c r="CN391"/>
      <c r="CO391"/>
    </row>
    <row r="392" spans="2:93" ht="15" customHeight="1">
      <c r="B392" s="34"/>
      <c r="CC392"/>
      <c r="CD392"/>
      <c r="CE392"/>
      <c r="CF392"/>
      <c r="CG392"/>
      <c r="CH392"/>
      <c r="CI392"/>
      <c r="CJ392"/>
      <c r="CK392"/>
      <c r="CL392"/>
      <c r="CM392"/>
      <c r="CN392"/>
      <c r="CO392"/>
    </row>
    <row r="393" spans="2:93" ht="15" customHeight="1">
      <c r="B393" s="34"/>
      <c r="CC393"/>
      <c r="CD393"/>
      <c r="CE393"/>
      <c r="CF393"/>
      <c r="CG393"/>
      <c r="CH393"/>
      <c r="CI393"/>
      <c r="CJ393"/>
      <c r="CK393"/>
      <c r="CL393"/>
      <c r="CM393"/>
      <c r="CN393"/>
      <c r="CO393"/>
    </row>
    <row r="394" spans="2:93" ht="15" customHeight="1">
      <c r="B394" s="34"/>
      <c r="CC394"/>
      <c r="CD394"/>
      <c r="CE394"/>
      <c r="CF394"/>
      <c r="CG394"/>
      <c r="CH394"/>
      <c r="CI394"/>
      <c r="CJ394"/>
      <c r="CK394"/>
      <c r="CL394"/>
      <c r="CM394"/>
      <c r="CN394"/>
      <c r="CO394"/>
    </row>
    <row r="395" spans="2:93" ht="15" customHeight="1">
      <c r="B395" s="34"/>
      <c r="CC395"/>
      <c r="CD395"/>
      <c r="CE395"/>
      <c r="CF395"/>
      <c r="CG395"/>
      <c r="CH395"/>
      <c r="CI395"/>
      <c r="CJ395"/>
      <c r="CK395"/>
      <c r="CL395"/>
      <c r="CM395"/>
      <c r="CN395"/>
      <c r="CO395"/>
    </row>
    <row r="396" spans="2:94" ht="15" customHeight="1">
      <c r="B396" s="34"/>
      <c r="CC396"/>
      <c r="CD396"/>
      <c r="CE396"/>
      <c r="CF396"/>
      <c r="CG396"/>
      <c r="CH396"/>
      <c r="CI396"/>
      <c r="CJ396"/>
      <c r="CK396"/>
      <c r="CL396"/>
      <c r="CM396"/>
      <c r="CN396"/>
      <c r="CO396"/>
      <c r="CP396" s="44"/>
    </row>
    <row r="397" spans="2:94" ht="15" customHeight="1">
      <c r="B397" s="34"/>
      <c r="CC397"/>
      <c r="CD397"/>
      <c r="CE397"/>
      <c r="CF397"/>
      <c r="CG397"/>
      <c r="CH397"/>
      <c r="CI397"/>
      <c r="CJ397"/>
      <c r="CK397"/>
      <c r="CL397"/>
      <c r="CM397"/>
      <c r="CN397"/>
      <c r="CO397"/>
      <c r="CP397" s="44"/>
    </row>
    <row r="398" spans="2:94" ht="15" customHeight="1">
      <c r="B398" s="34"/>
      <c r="CC398"/>
      <c r="CD398"/>
      <c r="CE398"/>
      <c r="CF398"/>
      <c r="CG398"/>
      <c r="CH398"/>
      <c r="CI398"/>
      <c r="CJ398"/>
      <c r="CK398"/>
      <c r="CL398"/>
      <c r="CM398"/>
      <c r="CN398"/>
      <c r="CO398"/>
      <c r="CP398" s="44"/>
    </row>
    <row r="399" spans="2:94" ht="15" customHeight="1">
      <c r="B399" s="34"/>
      <c r="CC399"/>
      <c r="CD399"/>
      <c r="CE399"/>
      <c r="CF399"/>
      <c r="CG399"/>
      <c r="CH399"/>
      <c r="CI399"/>
      <c r="CJ399"/>
      <c r="CK399"/>
      <c r="CL399"/>
      <c r="CM399"/>
      <c r="CN399"/>
      <c r="CO399"/>
      <c r="CP399" s="44"/>
    </row>
    <row r="400" spans="2:105" ht="15" customHeight="1">
      <c r="B400" s="34"/>
      <c r="CC400"/>
      <c r="CD400"/>
      <c r="CE400"/>
      <c r="CF400"/>
      <c r="CG400"/>
      <c r="CH400"/>
      <c r="CI400"/>
      <c r="CJ400"/>
      <c r="CK400"/>
      <c r="CL400"/>
      <c r="CM400"/>
      <c r="CN400"/>
      <c r="CO400"/>
      <c r="CP400" s="44"/>
      <c r="DA400" s="88" t="str">
        <f>title1</f>
        <v>Retirement  Management  Services, LLC</v>
      </c>
    </row>
    <row r="401" spans="2:105" ht="15" customHeight="1">
      <c r="B401" s="34"/>
      <c r="CC401"/>
      <c r="CD401"/>
      <c r="CE401"/>
      <c r="CF401"/>
      <c r="CG401"/>
      <c r="CH401"/>
      <c r="CI401"/>
      <c r="CJ401"/>
      <c r="CK401"/>
      <c r="CL401"/>
      <c r="CM401"/>
      <c r="CN401"/>
      <c r="CO401"/>
      <c r="CP401" s="44"/>
      <c r="DA401" s="89" t="str">
        <f>Title2</f>
        <v>Retirement  Savings  Calculator,  Version  24.1   (Release 12-11-2023)</v>
      </c>
    </row>
    <row r="402" spans="2:94" ht="15" customHeight="1">
      <c r="B402" s="34"/>
      <c r="CC402"/>
      <c r="CD402"/>
      <c r="CE402"/>
      <c r="CF402"/>
      <c r="CG402"/>
      <c r="CH402"/>
      <c r="CI402"/>
      <c r="CJ402"/>
      <c r="CK402"/>
      <c r="CL402"/>
      <c r="CM402"/>
      <c r="CN402"/>
      <c r="CO402"/>
      <c r="CP402" s="44"/>
    </row>
    <row r="403" spans="2:105" ht="15" customHeight="1">
      <c r="B403" s="34"/>
      <c r="CC403"/>
      <c r="CD403"/>
      <c r="CE403"/>
      <c r="CF403"/>
      <c r="CG403"/>
      <c r="CH403"/>
      <c r="CI403"/>
      <c r="CJ403"/>
      <c r="CK403"/>
      <c r="CL403"/>
      <c r="CM403"/>
      <c r="CN403"/>
      <c r="CO403"/>
      <c r="CP403" s="44"/>
      <c r="DA403" s="90" t="s">
        <v>208</v>
      </c>
    </row>
    <row r="404" spans="2:114" ht="15" customHeight="1">
      <c r="B404" s="34"/>
      <c r="CC404"/>
      <c r="CD404"/>
      <c r="CE404"/>
      <c r="CF404"/>
      <c r="CG404"/>
      <c r="CH404"/>
      <c r="CI404"/>
      <c r="CJ404"/>
      <c r="CK404"/>
      <c r="CL404"/>
      <c r="CM404"/>
      <c r="CN404"/>
      <c r="CO404"/>
      <c r="CP404" s="44"/>
      <c r="DF404" s="91" t="s">
        <v>296</v>
      </c>
      <c r="DG404" s="92"/>
      <c r="DH404" s="92"/>
      <c r="DI404" s="376">
        <v>45778</v>
      </c>
      <c r="DJ404" s="331"/>
    </row>
    <row r="405" spans="2:114" ht="15" customHeight="1">
      <c r="B405" s="34"/>
      <c r="CC405"/>
      <c r="CD405"/>
      <c r="CE405"/>
      <c r="CF405"/>
      <c r="CG405"/>
      <c r="CH405"/>
      <c r="CI405"/>
      <c r="CJ405"/>
      <c r="CK405"/>
      <c r="CL405"/>
      <c r="CM405"/>
      <c r="CN405"/>
      <c r="CO405"/>
      <c r="CP405" s="44"/>
      <c r="DA405" s="34" t="s">
        <v>96</v>
      </c>
      <c r="DF405" s="93" t="s">
        <v>209</v>
      </c>
      <c r="DG405" s="73"/>
      <c r="DH405" s="73"/>
      <c r="DI405" s="73"/>
      <c r="DJ405" s="77"/>
    </row>
    <row r="406" spans="2:106" ht="15" customHeight="1">
      <c r="B406" s="34"/>
      <c r="CC406"/>
      <c r="CD406"/>
      <c r="CE406"/>
      <c r="CF406"/>
      <c r="CG406"/>
      <c r="CH406"/>
      <c r="CI406"/>
      <c r="CJ406"/>
      <c r="CK406"/>
      <c r="CL406"/>
      <c r="CM406"/>
      <c r="CN406"/>
      <c r="CO406"/>
      <c r="CP406" s="44"/>
      <c r="DA406" s="34" t="s">
        <v>97</v>
      </c>
      <c r="DB406" s="34" t="s">
        <v>98</v>
      </c>
    </row>
    <row r="407" spans="2:106" ht="15" customHeight="1">
      <c r="B407" s="34"/>
      <c r="CC407"/>
      <c r="CD407"/>
      <c r="CE407"/>
      <c r="CF407"/>
      <c r="CG407"/>
      <c r="CH407"/>
      <c r="CI407"/>
      <c r="CJ407"/>
      <c r="CK407"/>
      <c r="CL407"/>
      <c r="CM407"/>
      <c r="CN407"/>
      <c r="CO407"/>
      <c r="CP407" s="44"/>
      <c r="DA407" s="31" t="s">
        <v>99</v>
      </c>
      <c r="DB407" s="31" t="s">
        <v>99</v>
      </c>
    </row>
    <row r="408" spans="2:105" ht="15" customHeight="1">
      <c r="B408" s="34"/>
      <c r="CC408"/>
      <c r="CD408"/>
      <c r="CE408"/>
      <c r="CF408"/>
      <c r="CG408"/>
      <c r="CH408"/>
      <c r="CI408"/>
      <c r="CJ408"/>
      <c r="CK408"/>
      <c r="CL408"/>
      <c r="CM408"/>
      <c r="CN408"/>
      <c r="CO408"/>
      <c r="CP408" s="44"/>
      <c r="DA408" s="31"/>
    </row>
    <row r="409" spans="2:107" ht="15" customHeight="1">
      <c r="B409" s="34"/>
      <c r="CC409"/>
      <c r="CD409"/>
      <c r="CE409"/>
      <c r="CF409"/>
      <c r="CG409"/>
      <c r="CH409"/>
      <c r="CI409"/>
      <c r="CJ409"/>
      <c r="CK409"/>
      <c r="CL409"/>
      <c r="CM409"/>
      <c r="CN409"/>
      <c r="CO409"/>
      <c r="CP409" s="44"/>
      <c r="DA409" s="28">
        <v>5.01</v>
      </c>
      <c r="DC409" s="30" t="s">
        <v>210</v>
      </c>
    </row>
    <row r="410" spans="2:107" ht="15" customHeight="1">
      <c r="B410" s="34"/>
      <c r="CC410"/>
      <c r="CD410"/>
      <c r="CE410"/>
      <c r="CF410"/>
      <c r="CG410"/>
      <c r="CH410"/>
      <c r="CI410"/>
      <c r="CJ410"/>
      <c r="CK410"/>
      <c r="CL410"/>
      <c r="CM410"/>
      <c r="CN410"/>
      <c r="CO410"/>
      <c r="CP410" s="44"/>
      <c r="DA410" s="31"/>
      <c r="DC410" s="30" t="s">
        <v>211</v>
      </c>
    </row>
    <row r="411" spans="2:105" ht="15" customHeight="1">
      <c r="B411" s="34"/>
      <c r="CC411"/>
      <c r="CD411"/>
      <c r="CE411"/>
      <c r="CF411"/>
      <c r="CG411"/>
      <c r="CH411"/>
      <c r="CI411"/>
      <c r="CJ411"/>
      <c r="CK411"/>
      <c r="CL411"/>
      <c r="CM411"/>
      <c r="CN411"/>
      <c r="CO411"/>
      <c r="CP411" s="44"/>
      <c r="DA411" s="31"/>
    </row>
    <row r="412" spans="2:113" ht="15" customHeight="1">
      <c r="B412" s="34"/>
      <c r="CC412"/>
      <c r="CD412"/>
      <c r="CE412"/>
      <c r="CF412"/>
      <c r="CG412"/>
      <c r="CH412"/>
      <c r="CI412"/>
      <c r="CJ412"/>
      <c r="CK412"/>
      <c r="CL412"/>
      <c r="CM412"/>
      <c r="CN412"/>
      <c r="CO412"/>
      <c r="CP412" s="44"/>
      <c r="DA412" s="28">
        <f>DA409+0.01</f>
        <v>5.02</v>
      </c>
      <c r="DC412" s="32" t="s">
        <v>212</v>
      </c>
      <c r="DI412" s="377">
        <v>2024</v>
      </c>
    </row>
    <row r="413" spans="2:105" ht="15" customHeight="1">
      <c r="B413" s="34"/>
      <c r="CC413"/>
      <c r="CD413"/>
      <c r="CE413"/>
      <c r="CF413"/>
      <c r="CG413"/>
      <c r="CH413"/>
      <c r="CI413"/>
      <c r="CJ413"/>
      <c r="CK413"/>
      <c r="CL413"/>
      <c r="CM413"/>
      <c r="CN413"/>
      <c r="CO413"/>
      <c r="CP413" s="44"/>
      <c r="DA413" s="31"/>
    </row>
    <row r="414" spans="2:113" ht="15" customHeight="1">
      <c r="B414" s="34"/>
      <c r="CC414"/>
      <c r="CD414"/>
      <c r="CE414"/>
      <c r="CF414"/>
      <c r="CG414"/>
      <c r="CH414"/>
      <c r="CI414"/>
      <c r="CJ414"/>
      <c r="CK414"/>
      <c r="CL414"/>
      <c r="CM414"/>
      <c r="CN414"/>
      <c r="CO414"/>
      <c r="CP414" s="44"/>
      <c r="DA414" s="28">
        <v>5.03</v>
      </c>
      <c r="DC414" s="32" t="s">
        <v>213</v>
      </c>
      <c r="DI414" s="333" t="str">
        <f ca="1">IF(TODAY()&gt;DI404,"Spreadsheet outdated, will not work."," ")</f>
        <v> </v>
      </c>
    </row>
    <row r="415" spans="2:105" ht="15" customHeight="1">
      <c r="B415" s="34"/>
      <c r="CC415"/>
      <c r="CD415"/>
      <c r="CE415"/>
      <c r="CF415"/>
      <c r="CG415"/>
      <c r="CH415"/>
      <c r="CI415"/>
      <c r="CJ415"/>
      <c r="CK415"/>
      <c r="CL415"/>
      <c r="CM415"/>
      <c r="CN415"/>
      <c r="CO415"/>
      <c r="CP415" s="44"/>
      <c r="DA415" s="31"/>
    </row>
    <row r="416" spans="2:113" ht="15" customHeight="1">
      <c r="B416" s="34"/>
      <c r="CC416"/>
      <c r="CD416"/>
      <c r="CE416"/>
      <c r="CF416"/>
      <c r="CG416"/>
      <c r="CH416"/>
      <c r="CI416"/>
      <c r="CJ416"/>
      <c r="CK416"/>
      <c r="CL416"/>
      <c r="CM416"/>
      <c r="CN416"/>
      <c r="CO416"/>
      <c r="CP416" s="44"/>
      <c r="DA416" s="34">
        <f>DA414+0.01</f>
        <v>5.04</v>
      </c>
      <c r="DB416" s="34"/>
      <c r="DC416" s="35" t="s">
        <v>214</v>
      </c>
      <c r="DI416" s="378">
        <v>2024</v>
      </c>
    </row>
    <row r="417" spans="2:112" ht="15" customHeight="1">
      <c r="B417" s="34"/>
      <c r="CC417"/>
      <c r="CD417"/>
      <c r="CE417"/>
      <c r="CF417"/>
      <c r="CG417"/>
      <c r="CH417"/>
      <c r="CI417"/>
      <c r="CJ417"/>
      <c r="CK417"/>
      <c r="CL417"/>
      <c r="CM417"/>
      <c r="CN417"/>
      <c r="CO417"/>
      <c r="CP417" s="44"/>
      <c r="DA417" s="34"/>
      <c r="DB417" s="34"/>
      <c r="DH417" s="33"/>
    </row>
    <row r="418" spans="2:112" ht="15" customHeight="1" thickBot="1">
      <c r="B418" s="34"/>
      <c r="CC418"/>
      <c r="CD418"/>
      <c r="CE418"/>
      <c r="CF418"/>
      <c r="CG418"/>
      <c r="CH418"/>
      <c r="CI418"/>
      <c r="CJ418"/>
      <c r="CK418"/>
      <c r="CL418"/>
      <c r="CM418"/>
      <c r="CN418"/>
      <c r="CO418"/>
      <c r="CP418" s="44"/>
      <c r="DA418" s="34"/>
      <c r="DB418" s="34"/>
      <c r="DC418" s="34" t="s">
        <v>215</v>
      </c>
      <c r="DD418" s="34" t="s">
        <v>216</v>
      </c>
      <c r="DE418" s="350" t="s">
        <v>217</v>
      </c>
      <c r="DG418" s="34"/>
      <c r="DH418" s="33"/>
    </row>
    <row r="419" spans="2:124" ht="15" customHeight="1">
      <c r="B419" s="34"/>
      <c r="CC419"/>
      <c r="CD419"/>
      <c r="CE419"/>
      <c r="CF419"/>
      <c r="CG419"/>
      <c r="CH419"/>
      <c r="CI419"/>
      <c r="CJ419"/>
      <c r="CK419"/>
      <c r="CL419"/>
      <c r="CM419"/>
      <c r="CN419"/>
      <c r="CO419"/>
      <c r="CP419" s="44"/>
      <c r="DA419" s="34"/>
      <c r="DB419" s="34"/>
      <c r="DC419" s="31" t="s">
        <v>218</v>
      </c>
      <c r="DD419" s="31" t="s">
        <v>217</v>
      </c>
      <c r="DE419" s="351" t="s">
        <v>219</v>
      </c>
      <c r="DG419" s="31" t="s">
        <v>220</v>
      </c>
      <c r="DI419" s="36"/>
      <c r="DM419" s="365"/>
      <c r="DN419" s="194"/>
      <c r="DO419" s="194"/>
      <c r="DP419" s="194"/>
      <c r="DQ419" s="194"/>
      <c r="DR419" s="194"/>
      <c r="DS419" s="194"/>
      <c r="DT419" s="366"/>
    </row>
    <row r="420" spans="2:124" ht="15" customHeight="1">
      <c r="B420" s="34"/>
      <c r="CC420"/>
      <c r="CD420"/>
      <c r="CE420"/>
      <c r="CF420"/>
      <c r="CG420"/>
      <c r="CH420"/>
      <c r="CI420"/>
      <c r="CJ420"/>
      <c r="CK420"/>
      <c r="CL420"/>
      <c r="CM420"/>
      <c r="CN420"/>
      <c r="CO420"/>
      <c r="CP420" s="44"/>
      <c r="DA420" s="34"/>
      <c r="DB420" s="359"/>
      <c r="DC420" s="37">
        <v>1000</v>
      </c>
      <c r="DD420" s="38">
        <f aca="true" t="shared" si="0" ref="DD420:DD470">DC420*DE420</f>
        <v>594</v>
      </c>
      <c r="DE420" s="355">
        <v>0.594</v>
      </c>
      <c r="DF420" s="40"/>
      <c r="DG420" s="364" t="s">
        <v>312</v>
      </c>
      <c r="DH420" s="40"/>
      <c r="DM420" s="367" t="s">
        <v>302</v>
      </c>
      <c r="DN420" s="44"/>
      <c r="DO420" s="44"/>
      <c r="DP420" s="44"/>
      <c r="DQ420" s="44"/>
      <c r="DR420" s="44"/>
      <c r="DS420" s="44"/>
      <c r="DT420" s="368"/>
    </row>
    <row r="421" spans="2:124" ht="15" customHeight="1">
      <c r="B421" s="34"/>
      <c r="CC421"/>
      <c r="CD421"/>
      <c r="CE421"/>
      <c r="CF421"/>
      <c r="CG421"/>
      <c r="CH421"/>
      <c r="CI421"/>
      <c r="CJ421"/>
      <c r="CK421"/>
      <c r="CL421"/>
      <c r="CM421"/>
      <c r="CN421"/>
      <c r="CO421"/>
      <c r="CP421" s="44"/>
      <c r="DA421" s="34"/>
      <c r="DB421" s="359"/>
      <c r="DC421" s="37">
        <v>2000</v>
      </c>
      <c r="DD421" s="38">
        <f t="shared" si="0"/>
        <v>1232</v>
      </c>
      <c r="DE421" s="338">
        <f>DE420-(DE420-DE422)/3</f>
        <v>0.616</v>
      </c>
      <c r="DF421" s="40"/>
      <c r="DG421" s="41" t="s">
        <v>221</v>
      </c>
      <c r="DH421" s="40"/>
      <c r="DM421" s="369" t="s">
        <v>303</v>
      </c>
      <c r="DN421" s="44"/>
      <c r="DO421" s="44"/>
      <c r="DP421" s="44"/>
      <c r="DQ421" s="44"/>
      <c r="DR421" s="44"/>
      <c r="DS421" s="44"/>
      <c r="DT421" s="368"/>
    </row>
    <row r="422" spans="2:124" ht="15" customHeight="1">
      <c r="B422" s="34"/>
      <c r="CC422"/>
      <c r="CD422"/>
      <c r="CE422"/>
      <c r="CF422"/>
      <c r="CG422"/>
      <c r="CH422"/>
      <c r="CI422"/>
      <c r="CJ422"/>
      <c r="CK422"/>
      <c r="CL422"/>
      <c r="CM422"/>
      <c r="CN422"/>
      <c r="CO422"/>
      <c r="CP422" s="44"/>
      <c r="DA422" s="34"/>
      <c r="DB422" s="359"/>
      <c r="DC422" s="37">
        <v>4000</v>
      </c>
      <c r="DD422" s="38">
        <f t="shared" si="0"/>
        <v>2640</v>
      </c>
      <c r="DE422" s="360">
        <f>220*12/DC422</f>
        <v>0.66</v>
      </c>
      <c r="DF422" s="40"/>
      <c r="DG422" s="364" t="s">
        <v>312</v>
      </c>
      <c r="DH422" s="40"/>
      <c r="DM422" s="381">
        <v>21732</v>
      </c>
      <c r="DN422" s="382"/>
      <c r="DO422" s="44" t="s">
        <v>313</v>
      </c>
      <c r="DP422" s="44"/>
      <c r="DQ422" s="44"/>
      <c r="DR422" s="44"/>
      <c r="DS422" s="44"/>
      <c r="DT422" s="368"/>
    </row>
    <row r="423" spans="2:124" ht="15" customHeight="1">
      <c r="B423" s="34"/>
      <c r="CC423"/>
      <c r="CD423"/>
      <c r="CE423"/>
      <c r="CF423"/>
      <c r="CG423"/>
      <c r="CH423"/>
      <c r="CI423"/>
      <c r="CJ423"/>
      <c r="CK423"/>
      <c r="CL423"/>
      <c r="CM423"/>
      <c r="CN423"/>
      <c r="CO423"/>
      <c r="CP423" s="44"/>
      <c r="DA423" s="34"/>
      <c r="DB423" s="359"/>
      <c r="DC423" s="37">
        <f aca="true" t="shared" si="1" ref="DC423:DC460">DC422+2000</f>
        <v>6000</v>
      </c>
      <c r="DD423" s="38">
        <f t="shared" si="0"/>
        <v>3960</v>
      </c>
      <c r="DE423" s="339">
        <f>(DE422+DE424)/2</f>
        <v>0.66</v>
      </c>
      <c r="DF423" s="40"/>
      <c r="DG423" s="41" t="s">
        <v>221</v>
      </c>
      <c r="DH423" s="40"/>
      <c r="DM423" s="375" t="s">
        <v>314</v>
      </c>
      <c r="DN423" s="44"/>
      <c r="DO423" s="44"/>
      <c r="DP423" s="44"/>
      <c r="DQ423" s="44"/>
      <c r="DR423" s="44"/>
      <c r="DS423" s="44"/>
      <c r="DT423" s="368"/>
    </row>
    <row r="424" spans="2:124" ht="15" customHeight="1">
      <c r="B424" s="34"/>
      <c r="CC424"/>
      <c r="CD424"/>
      <c r="CE424"/>
      <c r="CF424"/>
      <c r="CG424"/>
      <c r="CH424"/>
      <c r="CI424"/>
      <c r="CJ424"/>
      <c r="CK424"/>
      <c r="CL424"/>
      <c r="CM424"/>
      <c r="CN424"/>
      <c r="CO424"/>
      <c r="CP424" s="44"/>
      <c r="DA424" s="34"/>
      <c r="DB424" s="359"/>
      <c r="DC424" s="37">
        <f>DC423+2000</f>
        <v>8000</v>
      </c>
      <c r="DD424" s="38">
        <f t="shared" si="0"/>
        <v>5280</v>
      </c>
      <c r="DE424" s="360">
        <f>440*12/DC424</f>
        <v>0.66</v>
      </c>
      <c r="DF424" s="40"/>
      <c r="DG424" s="364" t="s">
        <v>312</v>
      </c>
      <c r="DH424" s="40"/>
      <c r="DM424" s="367" t="s">
        <v>304</v>
      </c>
      <c r="DN424" s="44"/>
      <c r="DO424" s="44"/>
      <c r="DP424" s="44"/>
      <c r="DQ424" s="44"/>
      <c r="DR424" s="44"/>
      <c r="DS424" s="44"/>
      <c r="DT424" s="368"/>
    </row>
    <row r="425" spans="2:124" ht="15" customHeight="1">
      <c r="B425" s="34"/>
      <c r="CC425"/>
      <c r="CD425"/>
      <c r="CE425"/>
      <c r="CF425"/>
      <c r="CG425"/>
      <c r="CH425"/>
      <c r="CI425"/>
      <c r="CJ425"/>
      <c r="CK425"/>
      <c r="CL425"/>
      <c r="CM425"/>
      <c r="CN425"/>
      <c r="CO425"/>
      <c r="CP425" s="44"/>
      <c r="DA425" s="34"/>
      <c r="DB425" s="359"/>
      <c r="DC425" s="37">
        <f t="shared" si="1"/>
        <v>10000</v>
      </c>
      <c r="DD425" s="38">
        <f t="shared" si="0"/>
        <v>6556.000000000001</v>
      </c>
      <c r="DE425" s="52">
        <f>(DE$424-DE$430)/6*5+DE$430</f>
        <v>0.6556000000000001</v>
      </c>
      <c r="DF425" s="40"/>
      <c r="DG425" s="41" t="s">
        <v>221</v>
      </c>
      <c r="DH425" s="40"/>
      <c r="DM425" s="369" t="s">
        <v>307</v>
      </c>
      <c r="DN425" s="380" t="s">
        <v>316</v>
      </c>
      <c r="DO425" s="44"/>
      <c r="DP425" s="44"/>
      <c r="DQ425" s="44"/>
      <c r="DR425" s="44"/>
      <c r="DS425" s="44"/>
      <c r="DT425" s="368"/>
    </row>
    <row r="426" spans="2:124" ht="15" customHeight="1">
      <c r="B426" s="34"/>
      <c r="CC426"/>
      <c r="CD426"/>
      <c r="CE426"/>
      <c r="CF426"/>
      <c r="CG426"/>
      <c r="CH426"/>
      <c r="CI426"/>
      <c r="CJ426"/>
      <c r="CK426"/>
      <c r="CL426"/>
      <c r="CM426"/>
      <c r="CN426"/>
      <c r="CO426"/>
      <c r="CP426" s="44"/>
      <c r="DA426" s="34"/>
      <c r="DB426" s="359"/>
      <c r="DC426" s="37">
        <f t="shared" si="1"/>
        <v>12000</v>
      </c>
      <c r="DD426" s="38">
        <f t="shared" si="0"/>
        <v>7814.4</v>
      </c>
      <c r="DE426" s="52">
        <f>(DE$424-DE$430)/6*4+DE$430</f>
        <v>0.6512</v>
      </c>
      <c r="DF426" s="40"/>
      <c r="DG426" s="41" t="s">
        <v>221</v>
      </c>
      <c r="DH426" s="40"/>
      <c r="DM426" s="369" t="s">
        <v>305</v>
      </c>
      <c r="DN426" s="44"/>
      <c r="DO426" s="44"/>
      <c r="DP426" s="44"/>
      <c r="DQ426" s="44"/>
      <c r="DR426" s="44"/>
      <c r="DS426" s="44"/>
      <c r="DT426" s="368"/>
    </row>
    <row r="427" spans="2:124" ht="15" customHeight="1">
      <c r="B427" s="34"/>
      <c r="CC427"/>
      <c r="CD427"/>
      <c r="CE427"/>
      <c r="CF427"/>
      <c r="CG427"/>
      <c r="CH427"/>
      <c r="CI427"/>
      <c r="CJ427"/>
      <c r="CK427"/>
      <c r="CL427"/>
      <c r="CM427"/>
      <c r="CN427"/>
      <c r="CO427"/>
      <c r="CP427" s="44"/>
      <c r="DA427" s="34"/>
      <c r="DB427" s="359"/>
      <c r="DC427" s="37">
        <f t="shared" si="1"/>
        <v>14000</v>
      </c>
      <c r="DD427" s="38">
        <f t="shared" si="0"/>
        <v>9055.2</v>
      </c>
      <c r="DE427" s="52">
        <f>(DE$424-DE$430)/6*3+DE$430</f>
        <v>0.6468</v>
      </c>
      <c r="DF427" s="40"/>
      <c r="DG427" s="41" t="s">
        <v>221</v>
      </c>
      <c r="DH427" s="40"/>
      <c r="DI427" s="39"/>
      <c r="DJ427" s="340"/>
      <c r="DM427" s="370" t="s">
        <v>308</v>
      </c>
      <c r="DN427" s="44"/>
      <c r="DO427" s="44"/>
      <c r="DP427" s="44"/>
      <c r="DQ427" s="44"/>
      <c r="DR427" s="44"/>
      <c r="DS427" s="44"/>
      <c r="DT427" s="368"/>
    </row>
    <row r="428" spans="2:124" ht="15" customHeight="1">
      <c r="B428" s="34"/>
      <c r="CC428"/>
      <c r="CD428"/>
      <c r="CE428"/>
      <c r="CF428"/>
      <c r="CG428"/>
      <c r="CH428"/>
      <c r="CI428"/>
      <c r="CJ428"/>
      <c r="CK428"/>
      <c r="CL428"/>
      <c r="CM428"/>
      <c r="CN428"/>
      <c r="CO428"/>
      <c r="CP428" s="44"/>
      <c r="DA428" s="34"/>
      <c r="DB428" s="359"/>
      <c r="DC428" s="37">
        <f t="shared" si="1"/>
        <v>16000</v>
      </c>
      <c r="DD428" s="38">
        <f t="shared" si="0"/>
        <v>10278.400000000001</v>
      </c>
      <c r="DE428" s="52">
        <f>(DE$424-DE$430)/6*2+DE$430</f>
        <v>0.6424000000000001</v>
      </c>
      <c r="DF428" s="40"/>
      <c r="DG428" s="41" t="s">
        <v>221</v>
      </c>
      <c r="DH428" s="40"/>
      <c r="DI428" s="40"/>
      <c r="DJ428" s="340"/>
      <c r="DM428" s="371" t="s">
        <v>309</v>
      </c>
      <c r="DN428" s="44"/>
      <c r="DO428" s="44"/>
      <c r="DP428" s="44"/>
      <c r="DQ428" s="44"/>
      <c r="DR428" s="44"/>
      <c r="DS428" s="44"/>
      <c r="DT428" s="368"/>
    </row>
    <row r="429" spans="2:124" ht="15" customHeight="1" thickBot="1">
      <c r="B429" s="34"/>
      <c r="CC429"/>
      <c r="CD429"/>
      <c r="CE429"/>
      <c r="CF429"/>
      <c r="CG429"/>
      <c r="CH429"/>
      <c r="CI429"/>
      <c r="CJ429"/>
      <c r="CK429"/>
      <c r="CL429"/>
      <c r="CM429"/>
      <c r="CN429"/>
      <c r="CO429"/>
      <c r="CP429" s="44"/>
      <c r="DA429" s="34"/>
      <c r="DB429" s="359"/>
      <c r="DC429" s="37">
        <f t="shared" si="1"/>
        <v>18000</v>
      </c>
      <c r="DD429" s="38">
        <f t="shared" si="0"/>
        <v>11484</v>
      </c>
      <c r="DE429" s="52">
        <f>(DE$424-DE$430)/6*1+DE$430</f>
        <v>0.638</v>
      </c>
      <c r="DF429" s="40"/>
      <c r="DG429" s="41" t="s">
        <v>221</v>
      </c>
      <c r="DH429" s="40"/>
      <c r="DI429" s="40"/>
      <c r="DJ429" s="340"/>
      <c r="DM429" s="372"/>
      <c r="DN429" s="373"/>
      <c r="DO429" s="373"/>
      <c r="DP429" s="373"/>
      <c r="DQ429" s="373"/>
      <c r="DR429" s="373"/>
      <c r="DS429" s="373"/>
      <c r="DT429" s="374"/>
    </row>
    <row r="430" spans="2:114" ht="15" customHeight="1">
      <c r="B430" s="34"/>
      <c r="CC430"/>
      <c r="CD430"/>
      <c r="CE430"/>
      <c r="CF430"/>
      <c r="CG430"/>
      <c r="CH430"/>
      <c r="CI430"/>
      <c r="CJ430"/>
      <c r="CK430"/>
      <c r="CL430"/>
      <c r="CM430"/>
      <c r="CN430"/>
      <c r="CO430"/>
      <c r="CP430" s="44"/>
      <c r="DA430" s="34"/>
      <c r="DB430" s="359"/>
      <c r="DC430" s="37">
        <f t="shared" si="1"/>
        <v>20000</v>
      </c>
      <c r="DD430" s="38">
        <f t="shared" si="0"/>
        <v>12672.000000000002</v>
      </c>
      <c r="DE430" s="361">
        <f>1056*12/DC430</f>
        <v>0.6336</v>
      </c>
      <c r="DF430" s="40"/>
      <c r="DG430" s="364" t="s">
        <v>312</v>
      </c>
      <c r="DH430" s="40"/>
      <c r="DI430" s="40"/>
      <c r="DJ430" s="340"/>
    </row>
    <row r="431" spans="2:114" ht="15" customHeight="1">
      <c r="B431" s="34"/>
      <c r="CC431"/>
      <c r="CD431"/>
      <c r="CE431"/>
      <c r="CF431"/>
      <c r="CG431"/>
      <c r="CH431"/>
      <c r="CI431"/>
      <c r="CJ431"/>
      <c r="CK431"/>
      <c r="CL431"/>
      <c r="CM431"/>
      <c r="CN431"/>
      <c r="CO431"/>
      <c r="CP431" s="44"/>
      <c r="DA431" s="34"/>
      <c r="DB431" s="359"/>
      <c r="DC431" s="37">
        <f t="shared" si="1"/>
        <v>22000</v>
      </c>
      <c r="DD431" s="38">
        <f t="shared" si="0"/>
        <v>13501.620000000003</v>
      </c>
      <c r="DE431" s="52">
        <f>(DE$430-DE$440)/10*9+DE$440</f>
        <v>0.6137100000000001</v>
      </c>
      <c r="DF431" s="40"/>
      <c r="DG431" s="41" t="s">
        <v>221</v>
      </c>
      <c r="DH431" s="40"/>
      <c r="DI431" s="40"/>
      <c r="DJ431" s="340"/>
    </row>
    <row r="432" spans="2:114" ht="15" customHeight="1">
      <c r="B432" s="34"/>
      <c r="CC432"/>
      <c r="CD432"/>
      <c r="CE432"/>
      <c r="CF432"/>
      <c r="CG432"/>
      <c r="CH432"/>
      <c r="CI432"/>
      <c r="CJ432"/>
      <c r="CK432"/>
      <c r="CL432"/>
      <c r="CM432"/>
      <c r="CN432"/>
      <c r="CO432"/>
      <c r="CP432" s="44"/>
      <c r="DA432" s="34"/>
      <c r="DB432" s="359"/>
      <c r="DC432" s="37">
        <f t="shared" si="1"/>
        <v>24000</v>
      </c>
      <c r="DD432" s="38">
        <f t="shared" si="0"/>
        <v>14251.68</v>
      </c>
      <c r="DE432" s="52">
        <f>(DE$430-DE$440)/10*8+DE$440</f>
        <v>0.59382</v>
      </c>
      <c r="DF432" s="40"/>
      <c r="DG432" s="41" t="s">
        <v>221</v>
      </c>
      <c r="DH432" s="40"/>
      <c r="DI432" s="40"/>
      <c r="DJ432" s="340"/>
    </row>
    <row r="433" spans="2:114" ht="15" customHeight="1">
      <c r="B433" s="34"/>
      <c r="CC433"/>
      <c r="CD433"/>
      <c r="CE433"/>
      <c r="CF433"/>
      <c r="CG433"/>
      <c r="CH433"/>
      <c r="CI433"/>
      <c r="CJ433"/>
      <c r="CK433"/>
      <c r="CL433"/>
      <c r="CM433"/>
      <c r="CN433"/>
      <c r="CO433"/>
      <c r="CP433" s="44"/>
      <c r="DA433" s="34"/>
      <c r="DB433" s="359"/>
      <c r="DC433" s="37">
        <f t="shared" si="1"/>
        <v>26000</v>
      </c>
      <c r="DD433" s="38">
        <f t="shared" si="0"/>
        <v>14922.180000000002</v>
      </c>
      <c r="DE433" s="52">
        <f>(DE$430-DE$440)/10*7+DE$440</f>
        <v>0.57393</v>
      </c>
      <c r="DF433" s="40"/>
      <c r="DG433" s="41" t="s">
        <v>221</v>
      </c>
      <c r="DH433" s="40"/>
      <c r="DI433" s="40"/>
      <c r="DJ433" s="340"/>
    </row>
    <row r="434" spans="2:114" ht="15" customHeight="1">
      <c r="B434" s="34"/>
      <c r="CC434"/>
      <c r="CD434"/>
      <c r="CE434"/>
      <c r="CF434"/>
      <c r="CG434"/>
      <c r="CH434"/>
      <c r="CI434"/>
      <c r="CJ434"/>
      <c r="CK434"/>
      <c r="CL434"/>
      <c r="CM434"/>
      <c r="CN434"/>
      <c r="CO434"/>
      <c r="CP434" s="44"/>
      <c r="DA434" s="34"/>
      <c r="DB434" s="359"/>
      <c r="DC434" s="37">
        <f t="shared" si="1"/>
        <v>28000</v>
      </c>
      <c r="DD434" s="38">
        <f t="shared" si="0"/>
        <v>15513.120000000003</v>
      </c>
      <c r="DE434" s="52">
        <f>(DE$430-DE$440)/10*6+DE$440</f>
        <v>0.5540400000000001</v>
      </c>
      <c r="DF434" s="40"/>
      <c r="DG434" s="41" t="s">
        <v>221</v>
      </c>
      <c r="DH434" s="40"/>
      <c r="DI434" s="40"/>
      <c r="DJ434" s="340"/>
    </row>
    <row r="435" spans="2:114" ht="15" customHeight="1">
      <c r="B435" s="34"/>
      <c r="CC435"/>
      <c r="CD435"/>
      <c r="CE435"/>
      <c r="CF435"/>
      <c r="CG435"/>
      <c r="CH435"/>
      <c r="CI435"/>
      <c r="CJ435"/>
      <c r="CK435"/>
      <c r="CL435"/>
      <c r="CM435"/>
      <c r="CN435"/>
      <c r="CO435"/>
      <c r="CP435" s="44"/>
      <c r="DA435" s="34"/>
      <c r="DB435" s="359"/>
      <c r="DC435" s="37">
        <f t="shared" si="1"/>
        <v>30000</v>
      </c>
      <c r="DD435" s="38">
        <f t="shared" si="0"/>
        <v>16024.5</v>
      </c>
      <c r="DE435" s="52">
        <f>(DE$430-DE$440)/10*5+DE$440</f>
        <v>0.53415</v>
      </c>
      <c r="DF435" s="40"/>
      <c r="DG435" s="41" t="s">
        <v>221</v>
      </c>
      <c r="DH435" s="40"/>
      <c r="DI435" s="40"/>
      <c r="DJ435" s="340"/>
    </row>
    <row r="436" spans="2:114" ht="15" customHeight="1">
      <c r="B436" s="34"/>
      <c r="CC436"/>
      <c r="CD436"/>
      <c r="CE436"/>
      <c r="CF436"/>
      <c r="CG436"/>
      <c r="CH436"/>
      <c r="CI436"/>
      <c r="CJ436"/>
      <c r="CK436"/>
      <c r="CL436"/>
      <c r="CM436"/>
      <c r="CN436"/>
      <c r="CO436"/>
      <c r="CP436" s="44"/>
      <c r="DA436" s="34"/>
      <c r="DB436" s="359"/>
      <c r="DC436" s="37">
        <f t="shared" si="1"/>
        <v>32000</v>
      </c>
      <c r="DD436" s="38">
        <f t="shared" si="0"/>
        <v>16456.320000000003</v>
      </c>
      <c r="DE436" s="52">
        <f>(DE$430-DE$440)/10*4+DE$440</f>
        <v>0.51426</v>
      </c>
      <c r="DF436" s="40"/>
      <c r="DG436" s="41" t="s">
        <v>221</v>
      </c>
      <c r="DH436" s="40"/>
      <c r="DI436" s="40"/>
      <c r="DJ436" s="340"/>
    </row>
    <row r="437" spans="2:115" ht="15" customHeight="1">
      <c r="B437" s="34"/>
      <c r="CC437"/>
      <c r="CD437"/>
      <c r="CE437"/>
      <c r="CF437"/>
      <c r="CG437"/>
      <c r="CH437"/>
      <c r="CI437"/>
      <c r="CJ437"/>
      <c r="CK437"/>
      <c r="CL437"/>
      <c r="CM437"/>
      <c r="CN437"/>
      <c r="CO437"/>
      <c r="CP437" s="44"/>
      <c r="DA437" s="34"/>
      <c r="DB437" s="359"/>
      <c r="DC437" s="37">
        <f t="shared" si="1"/>
        <v>34000</v>
      </c>
      <c r="DD437" s="38">
        <f t="shared" si="0"/>
        <v>16808.579999999998</v>
      </c>
      <c r="DE437" s="52">
        <f>(DE$430-DE$440)/10*3+DE$440</f>
        <v>0.49437</v>
      </c>
      <c r="DF437" s="40"/>
      <c r="DG437" s="41" t="s">
        <v>221</v>
      </c>
      <c r="DH437" s="41"/>
      <c r="DI437" s="39"/>
      <c r="DJ437" s="340"/>
      <c r="DK437" s="42"/>
    </row>
    <row r="438" spans="2:115" ht="15" customHeight="1">
      <c r="B438" s="34"/>
      <c r="CC438"/>
      <c r="CD438"/>
      <c r="CE438"/>
      <c r="CF438"/>
      <c r="CG438"/>
      <c r="CH438"/>
      <c r="CI438"/>
      <c r="CJ438"/>
      <c r="CK438"/>
      <c r="CL438"/>
      <c r="CM438"/>
      <c r="CN438"/>
      <c r="CO438"/>
      <c r="CP438" s="44"/>
      <c r="DA438" s="34"/>
      <c r="DB438" s="359"/>
      <c r="DC438" s="37">
        <f t="shared" si="1"/>
        <v>36000</v>
      </c>
      <c r="DD438" s="38">
        <f t="shared" si="0"/>
        <v>17081.28</v>
      </c>
      <c r="DE438" s="52">
        <f>(DE$430-DE$440)/10*2+DE$440</f>
        <v>0.47448</v>
      </c>
      <c r="DF438" s="40"/>
      <c r="DG438" s="41" t="s">
        <v>221</v>
      </c>
      <c r="DH438" s="41"/>
      <c r="DI438" s="40"/>
      <c r="DJ438" s="340"/>
      <c r="DK438" s="42"/>
    </row>
    <row r="439" spans="2:115" ht="15" customHeight="1">
      <c r="B439" s="34"/>
      <c r="CC439"/>
      <c r="CD439"/>
      <c r="CE439"/>
      <c r="CF439"/>
      <c r="CG439"/>
      <c r="CH439"/>
      <c r="CI439"/>
      <c r="CJ439"/>
      <c r="CK439"/>
      <c r="CL439"/>
      <c r="CM439"/>
      <c r="CN439"/>
      <c r="CO439"/>
      <c r="CP439" s="44"/>
      <c r="DA439" s="34"/>
      <c r="DB439" s="359"/>
      <c r="DC439" s="37">
        <f t="shared" si="1"/>
        <v>38000</v>
      </c>
      <c r="DD439" s="38">
        <f t="shared" si="0"/>
        <v>17274.42</v>
      </c>
      <c r="DE439" s="52">
        <f>(DE$430-DE$440)/10*1+DE$440</f>
        <v>0.45459</v>
      </c>
      <c r="DF439" s="40"/>
      <c r="DG439" s="41" t="s">
        <v>221</v>
      </c>
      <c r="DH439" s="41"/>
      <c r="DI439" s="40"/>
      <c r="DJ439" s="340"/>
      <c r="DK439" s="42"/>
    </row>
    <row r="440" spans="2:115" ht="15" customHeight="1">
      <c r="B440" s="34"/>
      <c r="CC440"/>
      <c r="CD440"/>
      <c r="CE440"/>
      <c r="CF440"/>
      <c r="CG440"/>
      <c r="CH440"/>
      <c r="CI440"/>
      <c r="CJ440"/>
      <c r="CK440"/>
      <c r="CL440"/>
      <c r="CM440"/>
      <c r="CN440"/>
      <c r="CO440"/>
      <c r="CP440" s="44"/>
      <c r="DA440" s="34"/>
      <c r="DB440" s="359"/>
      <c r="DC440" s="37">
        <f t="shared" si="1"/>
        <v>40000</v>
      </c>
      <c r="DD440" s="38">
        <f t="shared" si="0"/>
        <v>17388</v>
      </c>
      <c r="DE440" s="361">
        <f>1449*12/DC440</f>
        <v>0.4347</v>
      </c>
      <c r="DF440" s="40"/>
      <c r="DG440" s="364" t="s">
        <v>312</v>
      </c>
      <c r="DH440" s="41"/>
      <c r="DI440" s="40"/>
      <c r="DJ440" s="340"/>
      <c r="DK440" s="42"/>
    </row>
    <row r="441" spans="2:115" ht="15" customHeight="1">
      <c r="B441" s="34"/>
      <c r="CC441"/>
      <c r="CD441"/>
      <c r="CE441"/>
      <c r="CF441"/>
      <c r="CG441"/>
      <c r="CH441"/>
      <c r="CI441"/>
      <c r="CJ441"/>
      <c r="CK441"/>
      <c r="CL441"/>
      <c r="CM441"/>
      <c r="CN441"/>
      <c r="CO441"/>
      <c r="CP441" s="44"/>
      <c r="DA441" s="34"/>
      <c r="DB441" s="359"/>
      <c r="DC441" s="37">
        <f t="shared" si="1"/>
        <v>42000</v>
      </c>
      <c r="DD441" s="38">
        <f t="shared" si="0"/>
        <v>17920.224</v>
      </c>
      <c r="DE441" s="52">
        <f>(DE$440-DE$445)/5*4+DE$445</f>
        <v>0.426672</v>
      </c>
      <c r="DF441" s="40"/>
      <c r="DG441" s="41" t="s">
        <v>221</v>
      </c>
      <c r="DH441" s="41"/>
      <c r="DI441" s="40"/>
      <c r="DJ441" s="340"/>
      <c r="DK441" s="42"/>
    </row>
    <row r="442" spans="2:115" ht="15" customHeight="1">
      <c r="B442" s="34"/>
      <c r="CC442"/>
      <c r="CD442"/>
      <c r="CE442"/>
      <c r="CF442"/>
      <c r="CG442"/>
      <c r="CH442"/>
      <c r="CI442"/>
      <c r="CJ442"/>
      <c r="CK442"/>
      <c r="CL442"/>
      <c r="CM442"/>
      <c r="CN442"/>
      <c r="CO442"/>
      <c r="CP442" s="44"/>
      <c r="DA442" s="34"/>
      <c r="DB442" s="359"/>
      <c r="DC442" s="37">
        <f t="shared" si="1"/>
        <v>44000</v>
      </c>
      <c r="DD442" s="38">
        <f t="shared" si="0"/>
        <v>18420.336</v>
      </c>
      <c r="DE442" s="52">
        <f>(DE$440-DE$445)/5*3+DE$445</f>
        <v>0.418644</v>
      </c>
      <c r="DF442" s="40"/>
      <c r="DG442" s="41" t="s">
        <v>221</v>
      </c>
      <c r="DH442" s="41"/>
      <c r="DI442" s="40"/>
      <c r="DJ442" s="340"/>
      <c r="DK442" s="42"/>
    </row>
    <row r="443" spans="2:115" ht="15" customHeight="1">
      <c r="B443" s="34"/>
      <c r="CC443"/>
      <c r="CD443"/>
      <c r="CE443"/>
      <c r="CF443"/>
      <c r="CG443"/>
      <c r="CH443"/>
      <c r="CI443"/>
      <c r="CJ443"/>
      <c r="CK443"/>
      <c r="CL443"/>
      <c r="CM443"/>
      <c r="CN443"/>
      <c r="CO443"/>
      <c r="CP443" s="44"/>
      <c r="DA443" s="34"/>
      <c r="DB443" s="359"/>
      <c r="DC443" s="37">
        <f t="shared" si="1"/>
        <v>46000</v>
      </c>
      <c r="DD443" s="38">
        <f t="shared" si="0"/>
        <v>18888.336</v>
      </c>
      <c r="DE443" s="52">
        <f>(DE$440-DE$445)/5*2+DE$445</f>
        <v>0.410616</v>
      </c>
      <c r="DF443" s="40"/>
      <c r="DG443" s="41" t="s">
        <v>221</v>
      </c>
      <c r="DH443" s="41"/>
      <c r="DI443" s="40"/>
      <c r="DJ443" s="340"/>
      <c r="DK443" s="42"/>
    </row>
    <row r="444" spans="2:115" ht="15" customHeight="1">
      <c r="B444" s="34"/>
      <c r="CC444"/>
      <c r="CD444"/>
      <c r="CE444"/>
      <c r="CF444"/>
      <c r="CG444"/>
      <c r="CH444"/>
      <c r="CI444"/>
      <c r="CJ444"/>
      <c r="CK444"/>
      <c r="CL444"/>
      <c r="CM444"/>
      <c r="CN444"/>
      <c r="CO444"/>
      <c r="CP444" s="44"/>
      <c r="DA444" s="34"/>
      <c r="DB444" s="359"/>
      <c r="DC444" s="37">
        <f t="shared" si="1"/>
        <v>48000</v>
      </c>
      <c r="DD444" s="38">
        <f t="shared" si="0"/>
        <v>19324.224</v>
      </c>
      <c r="DE444" s="52">
        <f>(DE$440-DE$445)/5*1+DE$445</f>
        <v>0.402588</v>
      </c>
      <c r="DF444" s="40"/>
      <c r="DG444" s="41" t="s">
        <v>221</v>
      </c>
      <c r="DH444" s="41"/>
      <c r="DI444" s="40"/>
      <c r="DJ444" s="340"/>
      <c r="DK444" s="42"/>
    </row>
    <row r="445" spans="2:115" ht="15" customHeight="1">
      <c r="B445" s="34"/>
      <c r="CC445"/>
      <c r="CD445"/>
      <c r="CE445"/>
      <c r="CF445"/>
      <c r="CG445"/>
      <c r="CH445"/>
      <c r="CI445"/>
      <c r="CJ445"/>
      <c r="CK445"/>
      <c r="CL445"/>
      <c r="CM445"/>
      <c r="CN445"/>
      <c r="CO445"/>
      <c r="CP445" s="44"/>
      <c r="DA445" s="34"/>
      <c r="DB445" s="359"/>
      <c r="DC445" s="37">
        <f t="shared" si="1"/>
        <v>50000</v>
      </c>
      <c r="DD445" s="38">
        <f t="shared" si="0"/>
        <v>19728</v>
      </c>
      <c r="DE445" s="361">
        <f>1644*12/DC445</f>
        <v>0.39456</v>
      </c>
      <c r="DF445" s="40"/>
      <c r="DG445" s="364" t="s">
        <v>312</v>
      </c>
      <c r="DH445" s="41"/>
      <c r="DI445" s="40"/>
      <c r="DJ445" s="340"/>
      <c r="DK445" s="42"/>
    </row>
    <row r="446" spans="2:115" ht="15" customHeight="1">
      <c r="B446" s="34"/>
      <c r="CC446"/>
      <c r="CD446"/>
      <c r="CE446"/>
      <c r="CF446"/>
      <c r="CG446"/>
      <c r="CH446"/>
      <c r="CI446"/>
      <c r="CJ446"/>
      <c r="CK446"/>
      <c r="CL446"/>
      <c r="CM446"/>
      <c r="CN446"/>
      <c r="CO446"/>
      <c r="CP446" s="44"/>
      <c r="DA446" s="34"/>
      <c r="DB446" s="359"/>
      <c r="DC446" s="37">
        <f t="shared" si="1"/>
        <v>52000</v>
      </c>
      <c r="DD446" s="38">
        <f t="shared" si="0"/>
        <v>20281.248000000003</v>
      </c>
      <c r="DE446" s="52">
        <f>(DE$445-DE$455)/10*9+DE$455</f>
        <v>0.39002400000000004</v>
      </c>
      <c r="DF446" s="40"/>
      <c r="DG446" s="41" t="s">
        <v>221</v>
      </c>
      <c r="DH446" s="41"/>
      <c r="DI446" s="40"/>
      <c r="DJ446" s="340"/>
      <c r="DK446" s="42"/>
    </row>
    <row r="447" spans="2:115" ht="15" customHeight="1">
      <c r="B447" s="34"/>
      <c r="CC447"/>
      <c r="CD447"/>
      <c r="CE447"/>
      <c r="CF447"/>
      <c r="CG447"/>
      <c r="CH447"/>
      <c r="CI447"/>
      <c r="CJ447"/>
      <c r="CK447"/>
      <c r="CL447"/>
      <c r="CM447"/>
      <c r="CN447"/>
      <c r="CO447"/>
      <c r="CP447" s="44"/>
      <c r="DA447" s="34"/>
      <c r="DB447" s="359"/>
      <c r="DC447" s="37">
        <f t="shared" si="1"/>
        <v>54000</v>
      </c>
      <c r="DD447" s="38">
        <f t="shared" si="0"/>
        <v>20816.352</v>
      </c>
      <c r="DE447" s="52">
        <f>(DE$445-DE$455)/10*8+DE$455</f>
        <v>0.385488</v>
      </c>
      <c r="DF447" s="40"/>
      <c r="DG447" s="41" t="s">
        <v>221</v>
      </c>
      <c r="DH447" s="41"/>
      <c r="DI447" s="40"/>
      <c r="DJ447" s="340"/>
      <c r="DK447" s="42"/>
    </row>
    <row r="448" spans="2:115" ht="15" customHeight="1">
      <c r="B448" s="34"/>
      <c r="CC448"/>
      <c r="CD448"/>
      <c r="CE448"/>
      <c r="CF448"/>
      <c r="CG448"/>
      <c r="CH448"/>
      <c r="CI448"/>
      <c r="CJ448"/>
      <c r="CK448"/>
      <c r="CL448"/>
      <c r="CM448"/>
      <c r="CN448"/>
      <c r="CO448"/>
      <c r="CP448" s="44"/>
      <c r="DA448" s="34"/>
      <c r="DB448" s="359"/>
      <c r="DC448" s="37">
        <f t="shared" si="1"/>
        <v>56000</v>
      </c>
      <c r="DD448" s="38">
        <f t="shared" si="0"/>
        <v>21333.312</v>
      </c>
      <c r="DE448" s="52">
        <f>(DE$445-DE$455)/10*7+DE$455</f>
        <v>0.380952</v>
      </c>
      <c r="DF448" s="40"/>
      <c r="DG448" s="41" t="s">
        <v>221</v>
      </c>
      <c r="DH448" s="41"/>
      <c r="DI448" s="40"/>
      <c r="DJ448" s="340"/>
      <c r="DK448" s="42"/>
    </row>
    <row r="449" spans="2:115" ht="15" customHeight="1">
      <c r="B449" s="34"/>
      <c r="CC449"/>
      <c r="CD449"/>
      <c r="CE449"/>
      <c r="CF449"/>
      <c r="CG449"/>
      <c r="CH449"/>
      <c r="CI449"/>
      <c r="CJ449"/>
      <c r="CK449"/>
      <c r="CL449"/>
      <c r="CM449"/>
      <c r="CN449"/>
      <c r="CO449"/>
      <c r="CP449" s="44"/>
      <c r="DA449" s="34"/>
      <c r="DB449" s="359"/>
      <c r="DC449" s="37">
        <f t="shared" si="1"/>
        <v>58000</v>
      </c>
      <c r="DD449" s="38">
        <f t="shared" si="0"/>
        <v>21832.128</v>
      </c>
      <c r="DE449" s="52">
        <f>(DE$445-DE$455)/10*6+DE$455</f>
        <v>0.37641600000000003</v>
      </c>
      <c r="DF449" s="40"/>
      <c r="DG449" s="41" t="s">
        <v>221</v>
      </c>
      <c r="DH449" s="41"/>
      <c r="DI449" s="40"/>
      <c r="DJ449" s="340"/>
      <c r="DK449" s="42"/>
    </row>
    <row r="450" spans="2:115" ht="15" customHeight="1">
      <c r="B450" s="34"/>
      <c r="CC450"/>
      <c r="CD450"/>
      <c r="CE450"/>
      <c r="CF450"/>
      <c r="CG450"/>
      <c r="CH450"/>
      <c r="CI450"/>
      <c r="CJ450"/>
      <c r="CK450"/>
      <c r="CL450"/>
      <c r="CM450"/>
      <c r="CN450"/>
      <c r="CO450"/>
      <c r="CP450" s="44"/>
      <c r="DA450" s="34"/>
      <c r="DB450" s="359"/>
      <c r="DC450" s="37">
        <f t="shared" si="1"/>
        <v>60000</v>
      </c>
      <c r="DD450" s="38">
        <f t="shared" si="0"/>
        <v>22312.8</v>
      </c>
      <c r="DE450" s="52">
        <f>(DE$445-DE$455)/10*5+DE$455</f>
        <v>0.37188</v>
      </c>
      <c r="DF450" s="40"/>
      <c r="DG450" s="41" t="s">
        <v>221</v>
      </c>
      <c r="DH450" s="41"/>
      <c r="DI450" s="40"/>
      <c r="DJ450" s="340"/>
      <c r="DK450" s="42"/>
    </row>
    <row r="451" spans="2:115" ht="15" customHeight="1">
      <c r="B451" s="34"/>
      <c r="CC451"/>
      <c r="CD451"/>
      <c r="CE451"/>
      <c r="CF451"/>
      <c r="CG451"/>
      <c r="CH451"/>
      <c r="CI451"/>
      <c r="CJ451"/>
      <c r="CK451"/>
      <c r="CL451"/>
      <c r="CM451"/>
      <c r="CN451"/>
      <c r="CO451"/>
      <c r="CP451" s="44"/>
      <c r="DA451" s="34"/>
      <c r="DB451" s="359"/>
      <c r="DC451" s="37">
        <f t="shared" si="1"/>
        <v>62000</v>
      </c>
      <c r="DD451" s="38">
        <f t="shared" si="0"/>
        <v>22775.328</v>
      </c>
      <c r="DE451" s="52">
        <f>(DE$445-DE$455)/10*4+DE$455</f>
        <v>0.367344</v>
      </c>
      <c r="DF451" s="40"/>
      <c r="DG451" s="41" t="s">
        <v>221</v>
      </c>
      <c r="DH451" s="41"/>
      <c r="DI451" s="40"/>
      <c r="DJ451" s="340"/>
      <c r="DK451" s="42"/>
    </row>
    <row r="452" spans="2:115" ht="15" customHeight="1">
      <c r="B452" s="34"/>
      <c r="CC452"/>
      <c r="CD452"/>
      <c r="CE452"/>
      <c r="CF452"/>
      <c r="CG452"/>
      <c r="CH452"/>
      <c r="CI452"/>
      <c r="CJ452"/>
      <c r="CK452"/>
      <c r="CL452"/>
      <c r="CM452"/>
      <c r="CN452"/>
      <c r="CO452"/>
      <c r="CP452" s="44"/>
      <c r="DA452" s="34"/>
      <c r="DB452" s="359"/>
      <c r="DC452" s="37">
        <f t="shared" si="1"/>
        <v>64000</v>
      </c>
      <c r="DD452" s="38">
        <f t="shared" si="0"/>
        <v>23219.712</v>
      </c>
      <c r="DE452" s="52">
        <f>(DE$445-DE$455)/10*3+DE$455</f>
        <v>0.362808</v>
      </c>
      <c r="DF452" s="40"/>
      <c r="DG452" s="41" t="s">
        <v>221</v>
      </c>
      <c r="DH452" s="41"/>
      <c r="DI452" s="40"/>
      <c r="DJ452" s="340"/>
      <c r="DK452" s="42"/>
    </row>
    <row r="453" spans="2:115" ht="15" customHeight="1">
      <c r="B453" s="34"/>
      <c r="CC453"/>
      <c r="CD453"/>
      <c r="CE453"/>
      <c r="CF453"/>
      <c r="CG453"/>
      <c r="CH453"/>
      <c r="CI453"/>
      <c r="CJ453"/>
      <c r="CK453"/>
      <c r="CL453"/>
      <c r="CM453"/>
      <c r="CN453"/>
      <c r="CO453"/>
      <c r="CP453" s="44"/>
      <c r="DA453" s="34"/>
      <c r="DB453" s="359"/>
      <c r="DC453" s="37">
        <f t="shared" si="1"/>
        <v>66000</v>
      </c>
      <c r="DD453" s="38">
        <f t="shared" si="0"/>
        <v>23645.952</v>
      </c>
      <c r="DE453" s="52">
        <f>(DE$445-DE$455)/10*2+DE$455</f>
        <v>0.35827200000000003</v>
      </c>
      <c r="DF453" s="40"/>
      <c r="DG453" s="41" t="s">
        <v>221</v>
      </c>
      <c r="DH453" s="41"/>
      <c r="DI453" s="39"/>
      <c r="DJ453" s="340"/>
      <c r="DK453" s="42"/>
    </row>
    <row r="454" spans="2:114" ht="15" customHeight="1">
      <c r="B454" s="34"/>
      <c r="CC454"/>
      <c r="CD454"/>
      <c r="CE454"/>
      <c r="CF454"/>
      <c r="CG454"/>
      <c r="CH454"/>
      <c r="CI454"/>
      <c r="CJ454"/>
      <c r="CK454"/>
      <c r="CL454"/>
      <c r="CM454"/>
      <c r="CN454"/>
      <c r="CO454"/>
      <c r="CP454" s="44"/>
      <c r="DA454" s="34"/>
      <c r="DB454" s="359"/>
      <c r="DC454" s="37">
        <f t="shared" si="1"/>
        <v>68000</v>
      </c>
      <c r="DD454" s="38">
        <f t="shared" si="0"/>
        <v>24054.048</v>
      </c>
      <c r="DE454" s="52">
        <f>(DE$445-DE$455)/10*1+DE$455</f>
        <v>0.353736</v>
      </c>
      <c r="DF454" s="40"/>
      <c r="DG454" s="41" t="s">
        <v>221</v>
      </c>
      <c r="DH454" s="40"/>
      <c r="DI454" s="40"/>
      <c r="DJ454" s="340"/>
    </row>
    <row r="455" spans="2:114" ht="15" customHeight="1">
      <c r="B455" s="34"/>
      <c r="CC455"/>
      <c r="CD455"/>
      <c r="CE455"/>
      <c r="CF455"/>
      <c r="CG455"/>
      <c r="CH455"/>
      <c r="CI455"/>
      <c r="CJ455"/>
      <c r="CK455"/>
      <c r="CL455"/>
      <c r="CM455"/>
      <c r="CN455"/>
      <c r="CO455"/>
      <c r="CP455" s="44"/>
      <c r="DA455" s="34"/>
      <c r="DB455" s="359"/>
      <c r="DC455" s="37">
        <f t="shared" si="1"/>
        <v>70000</v>
      </c>
      <c r="DD455" s="38">
        <f t="shared" si="0"/>
        <v>24444</v>
      </c>
      <c r="DE455" s="361">
        <f>2037*12/DC455</f>
        <v>0.3492</v>
      </c>
      <c r="DF455" s="40"/>
      <c r="DG455" s="364" t="s">
        <v>312</v>
      </c>
      <c r="DH455" s="40"/>
      <c r="DI455" s="40"/>
      <c r="DJ455" s="340"/>
    </row>
    <row r="456" spans="2:114" ht="15" customHeight="1">
      <c r="B456" s="34"/>
      <c r="CC456"/>
      <c r="CD456"/>
      <c r="CE456"/>
      <c r="CF456"/>
      <c r="CG456"/>
      <c r="CH456"/>
      <c r="CI456"/>
      <c r="CJ456"/>
      <c r="CK456"/>
      <c r="CL456"/>
      <c r="CM456"/>
      <c r="CN456"/>
      <c r="CO456"/>
      <c r="CP456" s="44"/>
      <c r="DA456" s="34"/>
      <c r="DB456" s="359"/>
      <c r="DC456" s="37">
        <f t="shared" si="1"/>
        <v>72000</v>
      </c>
      <c r="DD456" s="38">
        <f t="shared" si="0"/>
        <v>24960</v>
      </c>
      <c r="DE456" s="363">
        <f>(DE$455-DE$461)/20*18+DE$461</f>
        <v>0.3466666666666667</v>
      </c>
      <c r="DF456" s="40"/>
      <c r="DG456" s="41" t="s">
        <v>221</v>
      </c>
      <c r="DH456" s="40"/>
      <c r="DI456" s="40"/>
      <c r="DJ456" s="340"/>
    </row>
    <row r="457" spans="2:114" ht="15" customHeight="1">
      <c r="B457" s="34"/>
      <c r="CC457"/>
      <c r="CD457"/>
      <c r="CE457"/>
      <c r="CF457"/>
      <c r="CG457"/>
      <c r="CH457"/>
      <c r="CI457"/>
      <c r="CJ457"/>
      <c r="CK457"/>
      <c r="CL457"/>
      <c r="CM457"/>
      <c r="CN457"/>
      <c r="CO457"/>
      <c r="CP457" s="44"/>
      <c r="DA457" s="34"/>
      <c r="DB457" s="359"/>
      <c r="DC457" s="37">
        <f t="shared" si="1"/>
        <v>74000</v>
      </c>
      <c r="DD457" s="38">
        <f t="shared" si="0"/>
        <v>25465.86666666667</v>
      </c>
      <c r="DE457" s="363">
        <f>(DE$455-DE$461)/20*16+DE$461</f>
        <v>0.34413333333333335</v>
      </c>
      <c r="DF457" s="40"/>
      <c r="DG457" s="41" t="s">
        <v>221</v>
      </c>
      <c r="DH457" s="40"/>
      <c r="DI457" s="40"/>
      <c r="DJ457" s="340"/>
    </row>
    <row r="458" spans="2:114" ht="15" customHeight="1">
      <c r="B458" s="34"/>
      <c r="CC458"/>
      <c r="CD458"/>
      <c r="CE458"/>
      <c r="CF458"/>
      <c r="CG458"/>
      <c r="CH458"/>
      <c r="CI458"/>
      <c r="CJ458"/>
      <c r="CK458"/>
      <c r="CL458"/>
      <c r="CM458"/>
      <c r="CN458"/>
      <c r="CO458"/>
      <c r="CP458" s="44"/>
      <c r="DA458" s="34"/>
      <c r="DB458" s="359"/>
      <c r="DC458" s="37">
        <f t="shared" si="1"/>
        <v>76000</v>
      </c>
      <c r="DD458" s="38">
        <f t="shared" si="0"/>
        <v>25961.600000000002</v>
      </c>
      <c r="DE458" s="363">
        <f>(DE$455-DE$461)/20*14+DE$461</f>
        <v>0.3416</v>
      </c>
      <c r="DF458" s="40"/>
      <c r="DG458" s="41" t="s">
        <v>221</v>
      </c>
      <c r="DH458" s="40"/>
      <c r="DI458" s="40"/>
      <c r="DJ458" s="340"/>
    </row>
    <row r="459" spans="2:114" ht="15" customHeight="1">
      <c r="B459" s="34"/>
      <c r="CC459"/>
      <c r="CD459"/>
      <c r="CE459"/>
      <c r="CF459"/>
      <c r="CG459"/>
      <c r="CH459"/>
      <c r="CI459"/>
      <c r="CJ459"/>
      <c r="CK459"/>
      <c r="CL459"/>
      <c r="CM459"/>
      <c r="CN459"/>
      <c r="CO459"/>
      <c r="CP459" s="44"/>
      <c r="DA459" s="34"/>
      <c r="DB459" s="359"/>
      <c r="DC459" s="37">
        <f t="shared" si="1"/>
        <v>78000</v>
      </c>
      <c r="DD459" s="38">
        <f t="shared" si="0"/>
        <v>26447.2</v>
      </c>
      <c r="DE459" s="363">
        <f>(DE$455-DE$461)/20*12+DE$461</f>
        <v>0.3390666666666667</v>
      </c>
      <c r="DF459" s="40"/>
      <c r="DG459" s="41" t="s">
        <v>221</v>
      </c>
      <c r="DH459" s="40"/>
      <c r="DI459" s="40"/>
      <c r="DJ459" s="340"/>
    </row>
    <row r="460" spans="2:114" ht="15" customHeight="1">
      <c r="B460" s="34"/>
      <c r="CC460"/>
      <c r="CD460"/>
      <c r="CE460"/>
      <c r="CF460"/>
      <c r="CG460"/>
      <c r="CH460"/>
      <c r="CI460"/>
      <c r="CJ460"/>
      <c r="CK460"/>
      <c r="CL460"/>
      <c r="CM460"/>
      <c r="CN460"/>
      <c r="CO460"/>
      <c r="CP460" s="44"/>
      <c r="DA460" s="34"/>
      <c r="DB460" s="359"/>
      <c r="DC460" s="332">
        <f t="shared" si="1"/>
        <v>80000</v>
      </c>
      <c r="DD460" s="38">
        <f t="shared" si="0"/>
        <v>26922.666666666668</v>
      </c>
      <c r="DE460" s="363">
        <f>(DE$455-DE$461)/20*10+DE$461</f>
        <v>0.33653333333333335</v>
      </c>
      <c r="DF460" s="40"/>
      <c r="DG460" s="41" t="s">
        <v>221</v>
      </c>
      <c r="DH460" s="40"/>
      <c r="DI460" s="40"/>
      <c r="DJ460" s="340"/>
    </row>
    <row r="461" spans="2:114" ht="15" customHeight="1">
      <c r="B461" s="34"/>
      <c r="CC461"/>
      <c r="CD461"/>
      <c r="CE461"/>
      <c r="CF461"/>
      <c r="CG461"/>
      <c r="CH461"/>
      <c r="CI461"/>
      <c r="CJ461"/>
      <c r="CK461"/>
      <c r="CL461"/>
      <c r="CM461"/>
      <c r="CN461"/>
      <c r="CO461"/>
      <c r="CP461" s="44"/>
      <c r="DA461" s="34"/>
      <c r="DB461" s="359"/>
      <c r="DC461" s="37">
        <v>90000</v>
      </c>
      <c r="DD461" s="38">
        <f t="shared" si="0"/>
        <v>29148.000000000004</v>
      </c>
      <c r="DE461" s="361">
        <f>2429*12/DC461</f>
        <v>0.3238666666666667</v>
      </c>
      <c r="DF461" s="40"/>
      <c r="DG461" s="364" t="s">
        <v>312</v>
      </c>
      <c r="DH461" s="40"/>
      <c r="DI461" s="40"/>
      <c r="DJ461" s="340"/>
    </row>
    <row r="462" spans="2:114" ht="15" customHeight="1">
      <c r="B462" s="34"/>
      <c r="CC462"/>
      <c r="CD462"/>
      <c r="CE462"/>
      <c r="CF462"/>
      <c r="CG462"/>
      <c r="CH462"/>
      <c r="CI462"/>
      <c r="CJ462"/>
      <c r="CK462"/>
      <c r="CL462"/>
      <c r="CM462"/>
      <c r="CN462"/>
      <c r="CO462"/>
      <c r="CP462" s="44"/>
      <c r="DA462" s="34"/>
      <c r="DB462" s="359"/>
      <c r="DC462" s="37">
        <f>DC461+10000</f>
        <v>100000</v>
      </c>
      <c r="DD462" s="38">
        <f t="shared" si="0"/>
        <v>31366.105263157897</v>
      </c>
      <c r="DE462" s="353">
        <f>(DE$461-DE$471)/10*9+DE$471</f>
        <v>0.31366105263157895</v>
      </c>
      <c r="DF462" s="40"/>
      <c r="DG462" s="41" t="s">
        <v>221</v>
      </c>
      <c r="DH462" s="40"/>
      <c r="DI462" s="40"/>
      <c r="DJ462" s="340"/>
    </row>
    <row r="463" spans="2:114" ht="15" customHeight="1">
      <c r="B463" s="34"/>
      <c r="CC463"/>
      <c r="CD463"/>
      <c r="CE463"/>
      <c r="CF463"/>
      <c r="CG463"/>
      <c r="CH463"/>
      <c r="CI463"/>
      <c r="CJ463"/>
      <c r="CK463"/>
      <c r="CL463"/>
      <c r="CM463"/>
      <c r="CN463"/>
      <c r="CO463"/>
      <c r="CP463" s="44"/>
      <c r="DA463" s="34"/>
      <c r="DB463" s="359"/>
      <c r="DC463" s="37">
        <f aca="true" t="shared" si="2" ref="DC463:DC470">DC462+10000</f>
        <v>110000</v>
      </c>
      <c r="DD463" s="38">
        <f t="shared" si="0"/>
        <v>33380.09824561404</v>
      </c>
      <c r="DE463" s="353">
        <f>(DE$461-DE$471)/10*8+DE$471</f>
        <v>0.30345543859649127</v>
      </c>
      <c r="DF463" s="40"/>
      <c r="DG463" s="41" t="s">
        <v>221</v>
      </c>
      <c r="DH463" s="40"/>
      <c r="DI463" s="40"/>
      <c r="DJ463" s="340"/>
    </row>
    <row r="464" spans="2:114" ht="15" customHeight="1">
      <c r="B464" s="34"/>
      <c r="CC464"/>
      <c r="CD464"/>
      <c r="CE464"/>
      <c r="CF464"/>
      <c r="CG464"/>
      <c r="CH464"/>
      <c r="CI464"/>
      <c r="CJ464"/>
      <c r="CK464"/>
      <c r="CL464"/>
      <c r="CM464"/>
      <c r="CN464"/>
      <c r="CO464"/>
      <c r="CP464" s="44"/>
      <c r="DA464" s="34"/>
      <c r="DB464" s="359"/>
      <c r="DC464" s="37">
        <f t="shared" si="2"/>
        <v>120000</v>
      </c>
      <c r="DD464" s="38">
        <f t="shared" si="0"/>
        <v>35189.97894736842</v>
      </c>
      <c r="DE464" s="353">
        <f>(DE$461-DE$471)/10*7+DE$471</f>
        <v>0.2932498245614035</v>
      </c>
      <c r="DF464" s="40"/>
      <c r="DG464" s="41" t="s">
        <v>221</v>
      </c>
      <c r="DH464" s="40"/>
      <c r="DI464" s="40"/>
      <c r="DJ464" s="340"/>
    </row>
    <row r="465" spans="2:114" ht="15" customHeight="1">
      <c r="B465" s="34"/>
      <c r="CC465"/>
      <c r="CD465"/>
      <c r="CE465"/>
      <c r="CF465"/>
      <c r="CG465"/>
      <c r="CH465"/>
      <c r="CI465"/>
      <c r="CJ465"/>
      <c r="CK465"/>
      <c r="CL465"/>
      <c r="CM465"/>
      <c r="CN465"/>
      <c r="CO465"/>
      <c r="CP465" s="44"/>
      <c r="DA465" s="34"/>
      <c r="DB465" s="359"/>
      <c r="DC465" s="37">
        <f t="shared" si="2"/>
        <v>130000</v>
      </c>
      <c r="DD465" s="38">
        <f t="shared" si="0"/>
        <v>36795.74736842105</v>
      </c>
      <c r="DE465" s="353">
        <f>(DE$461-DE$471)/10*6+DE$471</f>
        <v>0.2830442105263158</v>
      </c>
      <c r="DF465" s="40"/>
      <c r="DG465" s="41" t="s">
        <v>221</v>
      </c>
      <c r="DH465" s="40"/>
      <c r="DI465" s="40"/>
      <c r="DJ465" s="340"/>
    </row>
    <row r="466" spans="2:114" ht="15" customHeight="1">
      <c r="B466" s="34"/>
      <c r="CC466"/>
      <c r="CD466"/>
      <c r="CE466"/>
      <c r="CF466"/>
      <c r="CG466"/>
      <c r="CH466"/>
      <c r="CI466"/>
      <c r="CJ466"/>
      <c r="CK466"/>
      <c r="CL466"/>
      <c r="CM466"/>
      <c r="CN466"/>
      <c r="CO466"/>
      <c r="CP466" s="44"/>
      <c r="DA466" s="34"/>
      <c r="DB466" s="359"/>
      <c r="DC466" s="37">
        <f t="shared" si="2"/>
        <v>140000</v>
      </c>
      <c r="DD466" s="38">
        <f t="shared" si="0"/>
        <v>38197.40350877193</v>
      </c>
      <c r="DE466" s="353">
        <f>(DE$461-DE$471)/10*5+DE$471</f>
        <v>0.2728385964912281</v>
      </c>
      <c r="DF466" s="40"/>
      <c r="DG466" s="41" t="s">
        <v>221</v>
      </c>
      <c r="DH466" s="40"/>
      <c r="DI466" s="40"/>
      <c r="DJ466" s="340"/>
    </row>
    <row r="467" spans="2:114" ht="15" customHeight="1">
      <c r="B467" s="34"/>
      <c r="CC467"/>
      <c r="CD467"/>
      <c r="CE467"/>
      <c r="CF467"/>
      <c r="CG467"/>
      <c r="CH467"/>
      <c r="CI467"/>
      <c r="CJ467"/>
      <c r="CK467"/>
      <c r="CL467"/>
      <c r="CM467"/>
      <c r="CN467"/>
      <c r="CO467"/>
      <c r="CP467" s="44"/>
      <c r="DA467" s="34"/>
      <c r="DB467" s="359"/>
      <c r="DC467" s="37">
        <f t="shared" si="2"/>
        <v>150000</v>
      </c>
      <c r="DD467" s="38">
        <f t="shared" si="0"/>
        <v>39394.94736842105</v>
      </c>
      <c r="DE467" s="353">
        <f>(DE$461-DE$471)/10*4+DE$471</f>
        <v>0.26263298245614036</v>
      </c>
      <c r="DF467" s="40"/>
      <c r="DG467" s="41" t="s">
        <v>221</v>
      </c>
      <c r="DH467" s="40"/>
      <c r="DI467" s="40"/>
      <c r="DJ467" s="340"/>
    </row>
    <row r="468" spans="2:114" ht="15" customHeight="1">
      <c r="B468" s="34"/>
      <c r="CC468"/>
      <c r="CD468"/>
      <c r="CE468"/>
      <c r="CF468"/>
      <c r="CG468"/>
      <c r="CH468"/>
      <c r="CI468"/>
      <c r="CJ468"/>
      <c r="CK468"/>
      <c r="CL468"/>
      <c r="CM468"/>
      <c r="CN468"/>
      <c r="CO468"/>
      <c r="CP468" s="44"/>
      <c r="DA468" s="34"/>
      <c r="DB468" s="359"/>
      <c r="DC468" s="37">
        <f t="shared" si="2"/>
        <v>160000</v>
      </c>
      <c r="DD468" s="38">
        <f t="shared" si="0"/>
        <v>40388.37894736842</v>
      </c>
      <c r="DE468" s="353">
        <f>(DE$461-DE$471)/10*3+DE$471</f>
        <v>0.2524273684210526</v>
      </c>
      <c r="DF468" s="40"/>
      <c r="DG468" s="41" t="s">
        <v>221</v>
      </c>
      <c r="DH468" s="40"/>
      <c r="DI468" s="40"/>
      <c r="DJ468" s="340"/>
    </row>
    <row r="469" spans="2:114" ht="15" customHeight="1">
      <c r="B469" s="34"/>
      <c r="CC469"/>
      <c r="CD469"/>
      <c r="CE469"/>
      <c r="CF469"/>
      <c r="CG469"/>
      <c r="CH469"/>
      <c r="CI469"/>
      <c r="CJ469"/>
      <c r="CK469"/>
      <c r="CL469"/>
      <c r="CM469"/>
      <c r="CN469"/>
      <c r="CO469"/>
      <c r="CP469" s="44"/>
      <c r="DA469" s="34"/>
      <c r="DB469" s="359"/>
      <c r="DC469" s="37">
        <f t="shared" si="2"/>
        <v>170000</v>
      </c>
      <c r="DD469" s="38">
        <f t="shared" si="0"/>
        <v>41177.69824561404</v>
      </c>
      <c r="DE469" s="353">
        <f>(DE$461-DE$471)/10*2+DE$471</f>
        <v>0.24222175438596494</v>
      </c>
      <c r="DF469" s="40"/>
      <c r="DG469" s="41" t="s">
        <v>221</v>
      </c>
      <c r="DH469" s="40"/>
      <c r="DI469" s="40"/>
      <c r="DJ469" s="340"/>
    </row>
    <row r="470" spans="2:114" ht="15" customHeight="1">
      <c r="B470" s="34"/>
      <c r="CC470"/>
      <c r="CD470"/>
      <c r="CE470"/>
      <c r="CF470"/>
      <c r="CG470"/>
      <c r="CH470"/>
      <c r="CI470"/>
      <c r="CJ470"/>
      <c r="CK470"/>
      <c r="CL470"/>
      <c r="CM470"/>
      <c r="CN470"/>
      <c r="CO470"/>
      <c r="CP470" s="44"/>
      <c r="DA470" s="34"/>
      <c r="DB470" s="359"/>
      <c r="DC470" s="37">
        <f t="shared" si="2"/>
        <v>180000</v>
      </c>
      <c r="DD470" s="38">
        <f t="shared" si="0"/>
        <v>41762.905263157896</v>
      </c>
      <c r="DE470" s="353">
        <f>(DE$461-DE$471)/10*1+DE$471</f>
        <v>0.2320161403508772</v>
      </c>
      <c r="DF470" s="40"/>
      <c r="DG470" s="41" t="s">
        <v>221</v>
      </c>
      <c r="DH470" s="40"/>
      <c r="DI470" s="40"/>
      <c r="DJ470" s="340"/>
    </row>
    <row r="471" spans="2:114" ht="15" customHeight="1">
      <c r="B471" s="34"/>
      <c r="CC471"/>
      <c r="CD471"/>
      <c r="CE471"/>
      <c r="CF471"/>
      <c r="CG471"/>
      <c r="CH471"/>
      <c r="CI471"/>
      <c r="CJ471"/>
      <c r="CK471"/>
      <c r="CL471"/>
      <c r="CM471"/>
      <c r="CN471"/>
      <c r="CO471"/>
      <c r="CP471" s="44"/>
      <c r="DA471" s="34"/>
      <c r="DB471" s="359"/>
      <c r="DC471" s="37">
        <v>190000</v>
      </c>
      <c r="DD471" s="362">
        <f>3512*12</f>
        <v>42144</v>
      </c>
      <c r="DE471" s="339">
        <f>DD471/DC471</f>
        <v>0.22181052631578949</v>
      </c>
      <c r="DF471" s="40"/>
      <c r="DG471" s="364" t="s">
        <v>312</v>
      </c>
      <c r="DH471" s="40"/>
      <c r="DI471" s="40"/>
      <c r="DJ471" s="340"/>
    </row>
    <row r="472" spans="2:114" ht="15" customHeight="1">
      <c r="B472" s="34"/>
      <c r="CC472"/>
      <c r="CD472"/>
      <c r="CE472"/>
      <c r="CF472"/>
      <c r="CG472"/>
      <c r="CH472"/>
      <c r="CI472"/>
      <c r="CJ472"/>
      <c r="CK472"/>
      <c r="CL472"/>
      <c r="CM472"/>
      <c r="CN472"/>
      <c r="CO472"/>
      <c r="CP472" s="44"/>
      <c r="DA472" s="34"/>
      <c r="DB472" s="359"/>
      <c r="DC472" s="37">
        <v>1000000</v>
      </c>
      <c r="DD472" s="362">
        <f>3807*12</f>
        <v>45684</v>
      </c>
      <c r="DE472" s="339">
        <f>DD472/DC472</f>
        <v>0.045684</v>
      </c>
      <c r="DF472" s="40"/>
      <c r="DG472" s="354" t="s">
        <v>306</v>
      </c>
      <c r="DH472" s="40"/>
      <c r="DI472" s="40"/>
      <c r="DJ472" s="358" t="s">
        <v>323</v>
      </c>
    </row>
    <row r="473" spans="2:108" ht="15" customHeight="1">
      <c r="B473" s="34"/>
      <c r="CC473"/>
      <c r="CD473"/>
      <c r="CE473"/>
      <c r="CF473"/>
      <c r="CG473"/>
      <c r="CH473"/>
      <c r="CI473"/>
      <c r="CJ473"/>
      <c r="CK473"/>
      <c r="CL473"/>
      <c r="CM473"/>
      <c r="CN473"/>
      <c r="CO473"/>
      <c r="CP473" s="44"/>
      <c r="DA473" s="34"/>
      <c r="DB473" s="34"/>
      <c r="DC473" s="37"/>
      <c r="DD473" s="37"/>
    </row>
    <row r="474" spans="2:108" ht="15" customHeight="1">
      <c r="B474" s="34"/>
      <c r="CC474"/>
      <c r="CD474"/>
      <c r="CE474"/>
      <c r="CF474"/>
      <c r="CG474"/>
      <c r="CH474"/>
      <c r="CI474"/>
      <c r="CJ474"/>
      <c r="CK474"/>
      <c r="CL474"/>
      <c r="CM474"/>
      <c r="CN474"/>
      <c r="CO474"/>
      <c r="CP474" s="44"/>
      <c r="DA474" s="34">
        <f>DA416+0.01</f>
        <v>5.05</v>
      </c>
      <c r="DB474" s="34"/>
      <c r="DC474" s="43" t="s">
        <v>310</v>
      </c>
      <c r="DD474" s="37"/>
    </row>
    <row r="475" spans="2:108" ht="15" customHeight="1">
      <c r="B475" s="34"/>
      <c r="CC475"/>
      <c r="CD475"/>
      <c r="CE475"/>
      <c r="CF475"/>
      <c r="CG475"/>
      <c r="CH475"/>
      <c r="CI475"/>
      <c r="CJ475"/>
      <c r="CK475"/>
      <c r="CL475"/>
      <c r="CM475"/>
      <c r="CN475"/>
      <c r="CO475"/>
      <c r="CP475" s="44"/>
      <c r="DA475" s="34"/>
      <c r="DB475" s="34"/>
      <c r="DC475" s="37"/>
      <c r="DD475" s="37"/>
    </row>
    <row r="476" spans="2:117" ht="15" customHeight="1">
      <c r="B476" s="34"/>
      <c r="CC476"/>
      <c r="CD476"/>
      <c r="CE476"/>
      <c r="CF476"/>
      <c r="CG476"/>
      <c r="CH476"/>
      <c r="CI476"/>
      <c r="CJ476"/>
      <c r="CK476"/>
      <c r="CL476"/>
      <c r="CM476"/>
      <c r="CN476"/>
      <c r="CO476"/>
      <c r="CP476" s="44"/>
      <c r="DA476" s="34"/>
      <c r="DB476" s="34"/>
      <c r="DC476" s="44"/>
      <c r="DD476" s="44"/>
      <c r="DE476" s="44"/>
      <c r="DG476" s="45" t="s">
        <v>222</v>
      </c>
      <c r="DH476" s="34">
        <f>maritalstatus</f>
        <v>2</v>
      </c>
      <c r="DL476" s="44"/>
      <c r="DM476" s="58"/>
    </row>
    <row r="477" spans="2:117" ht="15" customHeight="1">
      <c r="B477" s="34"/>
      <c r="CC477"/>
      <c r="CD477"/>
      <c r="CE477"/>
      <c r="CF477"/>
      <c r="CG477"/>
      <c r="CH477"/>
      <c r="CI477"/>
      <c r="CJ477"/>
      <c r="CK477"/>
      <c r="CL477"/>
      <c r="CM477"/>
      <c r="CN477"/>
      <c r="CO477"/>
      <c r="CP477" s="44"/>
      <c r="DA477" s="34"/>
      <c r="DB477" s="34"/>
      <c r="DC477" s="44"/>
      <c r="DD477" s="44"/>
      <c r="DE477" s="44"/>
      <c r="DG477" s="45" t="s">
        <v>223</v>
      </c>
      <c r="DH477" s="49">
        <f>annualsalary</f>
        <v>25000</v>
      </c>
      <c r="DJ477" s="37"/>
      <c r="DL477" s="66"/>
      <c r="DM477" s="94"/>
    </row>
    <row r="478" spans="2:117" ht="15" customHeight="1">
      <c r="B478" s="34"/>
      <c r="CC478"/>
      <c r="CD478"/>
      <c r="CE478"/>
      <c r="CF478"/>
      <c r="CG478"/>
      <c r="CH478"/>
      <c r="CI478"/>
      <c r="CJ478"/>
      <c r="CK478"/>
      <c r="CL478"/>
      <c r="CM478"/>
      <c r="CN478"/>
      <c r="CO478"/>
      <c r="CP478" s="44"/>
      <c r="DA478" s="34"/>
      <c r="DB478" s="34"/>
      <c r="DC478" s="44"/>
      <c r="DD478" s="44"/>
      <c r="DE478" s="44"/>
      <c r="DG478" s="45" t="s">
        <v>224</v>
      </c>
      <c r="DH478" s="49">
        <f>spouseannualsalary</f>
        <v>15000</v>
      </c>
      <c r="DJ478" s="37"/>
      <c r="DL478" s="66"/>
      <c r="DM478" s="94"/>
    </row>
    <row r="479" spans="2:117" ht="15" customHeight="1">
      <c r="B479" s="34"/>
      <c r="CC479"/>
      <c r="CD479"/>
      <c r="CE479"/>
      <c r="CF479"/>
      <c r="CG479"/>
      <c r="CH479"/>
      <c r="CI479"/>
      <c r="CJ479"/>
      <c r="CK479"/>
      <c r="CL479"/>
      <c r="CM479"/>
      <c r="CN479"/>
      <c r="CO479"/>
      <c r="CP479" s="44"/>
      <c r="DA479" s="34"/>
      <c r="DB479" s="34"/>
      <c r="DC479" s="44"/>
      <c r="DD479" s="44"/>
      <c r="DE479" s="44"/>
      <c r="DG479" s="45" t="s">
        <v>225</v>
      </c>
      <c r="DH479" s="47">
        <f>targetedreplacementratio</f>
        <v>0.85</v>
      </c>
      <c r="DJ479" s="48"/>
      <c r="DL479" s="44"/>
      <c r="DM479" s="95"/>
    </row>
    <row r="480" spans="2:117" ht="15" customHeight="1">
      <c r="B480" s="34"/>
      <c r="CC480"/>
      <c r="CD480"/>
      <c r="CE480"/>
      <c r="CF480"/>
      <c r="CG480"/>
      <c r="CH480"/>
      <c r="CI480"/>
      <c r="CJ480"/>
      <c r="CK480"/>
      <c r="CL480"/>
      <c r="CM480"/>
      <c r="CN480"/>
      <c r="CO480"/>
      <c r="CP480" s="44"/>
      <c r="DA480" s="34"/>
      <c r="DB480" s="34"/>
      <c r="DC480" s="44"/>
      <c r="DD480" s="44"/>
      <c r="DE480" s="44"/>
      <c r="DG480" s="45" t="s">
        <v>226</v>
      </c>
      <c r="DH480" s="49">
        <f>currentage</f>
        <v>35</v>
      </c>
      <c r="DJ480" s="37"/>
      <c r="DL480" s="44"/>
      <c r="DM480" s="96"/>
    </row>
    <row r="481" spans="2:117" ht="15" customHeight="1">
      <c r="B481" s="34"/>
      <c r="CC481"/>
      <c r="CD481"/>
      <c r="CE481"/>
      <c r="CF481"/>
      <c r="CG481"/>
      <c r="CH481"/>
      <c r="CI481"/>
      <c r="CJ481"/>
      <c r="CK481"/>
      <c r="CL481"/>
      <c r="CM481"/>
      <c r="CN481"/>
      <c r="CO481"/>
      <c r="CP481" s="44"/>
      <c r="DA481" s="34"/>
      <c r="DB481" s="34"/>
      <c r="DC481" s="44"/>
      <c r="DD481" s="44"/>
      <c r="DE481" s="44"/>
      <c r="DG481" s="45" t="s">
        <v>227</v>
      </c>
      <c r="DH481" s="49">
        <f>retage</f>
        <v>65</v>
      </c>
      <c r="DJ481" s="37"/>
      <c r="DL481" s="44"/>
      <c r="DM481" s="96"/>
    </row>
    <row r="482" spans="2:117" ht="15" customHeight="1">
      <c r="B482" s="34"/>
      <c r="CC482"/>
      <c r="CD482"/>
      <c r="CE482"/>
      <c r="CF482"/>
      <c r="CG482"/>
      <c r="CH482"/>
      <c r="CI482"/>
      <c r="CJ482"/>
      <c r="CK482"/>
      <c r="CL482"/>
      <c r="CM482"/>
      <c r="CN482"/>
      <c r="CO482"/>
      <c r="CP482" s="44"/>
      <c r="DA482" s="34"/>
      <c r="DB482" s="34"/>
      <c r="DC482" s="44"/>
      <c r="DD482" s="44"/>
      <c r="DE482" s="44"/>
      <c r="DG482" s="50" t="s">
        <v>228</v>
      </c>
      <c r="DH482" s="49">
        <f>yrsduringret</f>
        <v>25</v>
      </c>
      <c r="DJ482" s="37"/>
      <c r="DL482" s="44"/>
      <c r="DM482" s="96"/>
    </row>
    <row r="483" spans="2:117" ht="15" customHeight="1">
      <c r="B483" s="34"/>
      <c r="CC483"/>
      <c r="CD483"/>
      <c r="CE483"/>
      <c r="CF483"/>
      <c r="CG483"/>
      <c r="CH483"/>
      <c r="CI483"/>
      <c r="CJ483"/>
      <c r="CK483"/>
      <c r="CL483"/>
      <c r="CM483"/>
      <c r="CN483"/>
      <c r="CO483"/>
      <c r="CP483" s="44"/>
      <c r="DA483" s="34"/>
      <c r="DB483" s="34"/>
      <c r="DC483" s="44"/>
      <c r="DD483" s="44"/>
      <c r="DE483" s="44"/>
      <c r="DG483" s="45" t="s">
        <v>229</v>
      </c>
      <c r="DH483" s="49">
        <f>retsavings</f>
        <v>30000</v>
      </c>
      <c r="DJ483" s="37"/>
      <c r="DL483" s="44"/>
      <c r="DM483" s="96"/>
    </row>
    <row r="484" spans="2:117" ht="15" customHeight="1">
      <c r="B484" s="34"/>
      <c r="CC484"/>
      <c r="CD484"/>
      <c r="CE484"/>
      <c r="CF484"/>
      <c r="CG484"/>
      <c r="CH484"/>
      <c r="CI484"/>
      <c r="CJ484"/>
      <c r="CK484"/>
      <c r="CL484"/>
      <c r="CM484"/>
      <c r="CN484"/>
      <c r="CO484"/>
      <c r="CP484" s="44"/>
      <c r="DA484" s="34"/>
      <c r="DB484" s="34"/>
      <c r="DC484" s="44"/>
      <c r="DD484" s="44"/>
      <c r="DE484" s="44"/>
      <c r="DG484" s="45" t="s">
        <v>230</v>
      </c>
      <c r="DH484" s="49">
        <f>pension</f>
        <v>2000</v>
      </c>
      <c r="DJ484" s="37"/>
      <c r="DL484" s="44"/>
      <c r="DM484" s="96"/>
    </row>
    <row r="485" spans="2:117" ht="15" customHeight="1">
      <c r="B485" s="34"/>
      <c r="CC485"/>
      <c r="CD485"/>
      <c r="CE485"/>
      <c r="CF485"/>
      <c r="CG485"/>
      <c r="CH485"/>
      <c r="CI485"/>
      <c r="CJ485"/>
      <c r="CK485"/>
      <c r="CL485"/>
      <c r="CM485"/>
      <c r="CN485"/>
      <c r="CO485"/>
      <c r="CP485" s="44"/>
      <c r="DA485" s="34"/>
      <c r="DB485" s="34"/>
      <c r="DC485" s="44"/>
      <c r="DD485" s="44"/>
      <c r="DE485" s="44"/>
      <c r="DG485" s="45" t="s">
        <v>231</v>
      </c>
      <c r="DH485" s="51">
        <f>preretyield</f>
        <v>0.07</v>
      </c>
      <c r="DJ485" s="52"/>
      <c r="DL485" s="44"/>
      <c r="DM485" s="97"/>
    </row>
    <row r="486" spans="2:117" ht="15" customHeight="1">
      <c r="B486" s="34"/>
      <c r="CC486"/>
      <c r="CD486"/>
      <c r="CE486"/>
      <c r="CF486"/>
      <c r="CG486"/>
      <c r="CH486"/>
      <c r="CI486"/>
      <c r="CJ486"/>
      <c r="CK486"/>
      <c r="CL486"/>
      <c r="CM486"/>
      <c r="CN486"/>
      <c r="CO486"/>
      <c r="CP486" s="44"/>
      <c r="DA486" s="34"/>
      <c r="DB486" s="34"/>
      <c r="DC486" s="44"/>
      <c r="DD486" s="44"/>
      <c r="DE486" s="44"/>
      <c r="DG486" s="45" t="s">
        <v>232</v>
      </c>
      <c r="DH486" s="51">
        <f>postretyield</f>
        <v>0.05</v>
      </c>
      <c r="DJ486" s="52"/>
      <c r="DL486" s="44"/>
      <c r="DM486" s="97"/>
    </row>
    <row r="487" spans="2:117" ht="15" customHeight="1">
      <c r="B487" s="34"/>
      <c r="CC487"/>
      <c r="CD487"/>
      <c r="CE487"/>
      <c r="CF487"/>
      <c r="CG487"/>
      <c r="CH487"/>
      <c r="CI487"/>
      <c r="CJ487"/>
      <c r="CK487"/>
      <c r="CL487"/>
      <c r="CM487"/>
      <c r="CN487"/>
      <c r="CO487"/>
      <c r="CP487" s="44"/>
      <c r="DA487" s="34"/>
      <c r="DB487" s="34"/>
      <c r="DC487" s="44"/>
      <c r="DD487" s="44"/>
      <c r="DE487" s="44"/>
      <c r="DG487" s="45" t="s">
        <v>233</v>
      </c>
      <c r="DH487" s="51">
        <f>inflation</f>
        <v>0.035</v>
      </c>
      <c r="DJ487" s="52"/>
      <c r="DL487" s="44"/>
      <c r="DM487" s="97"/>
    </row>
    <row r="488" spans="2:117" ht="15" customHeight="1">
      <c r="B488" s="34"/>
      <c r="CC488"/>
      <c r="CD488"/>
      <c r="CE488"/>
      <c r="CF488"/>
      <c r="CG488"/>
      <c r="CH488"/>
      <c r="CI488"/>
      <c r="CJ488"/>
      <c r="CK488"/>
      <c r="CL488"/>
      <c r="CM488"/>
      <c r="CN488"/>
      <c r="CO488"/>
      <c r="CP488" s="44"/>
      <c r="DA488" s="34"/>
      <c r="DB488" s="34"/>
      <c r="DC488" s="44"/>
      <c r="DD488" s="44"/>
      <c r="DE488" s="44"/>
      <c r="DG488" s="45" t="s">
        <v>234</v>
      </c>
      <c r="DH488" s="51">
        <f>employercontribution</f>
        <v>0.02</v>
      </c>
      <c r="DJ488" s="52"/>
      <c r="DL488" s="44"/>
      <c r="DM488" s="97"/>
    </row>
    <row r="489" spans="2:117" ht="15" customHeight="1">
      <c r="B489" s="34"/>
      <c r="CC489"/>
      <c r="CD489"/>
      <c r="CE489"/>
      <c r="CF489"/>
      <c r="CG489"/>
      <c r="CH489"/>
      <c r="CI489"/>
      <c r="CJ489"/>
      <c r="CK489"/>
      <c r="CL489"/>
      <c r="CM489"/>
      <c r="CN489"/>
      <c r="CO489"/>
      <c r="CP489" s="44"/>
      <c r="DA489" s="34"/>
      <c r="DB489" s="34"/>
      <c r="DC489" s="44"/>
      <c r="DD489" s="44"/>
      <c r="DE489" s="44"/>
      <c r="DG489" s="53"/>
      <c r="DH489" s="52"/>
      <c r="DL489" s="44"/>
      <c r="DM489" s="97"/>
    </row>
    <row r="490" spans="2:117" ht="15" customHeight="1">
      <c r="B490" s="34"/>
      <c r="CC490"/>
      <c r="CD490"/>
      <c r="CE490"/>
      <c r="CF490"/>
      <c r="CG490"/>
      <c r="CH490"/>
      <c r="CI490"/>
      <c r="CJ490"/>
      <c r="CK490"/>
      <c r="CL490"/>
      <c r="CM490"/>
      <c r="CN490"/>
      <c r="CO490"/>
      <c r="CP490" s="44"/>
      <c r="DA490" s="34">
        <f>DA474+0.01</f>
        <v>5.06</v>
      </c>
      <c r="DB490" s="34"/>
      <c r="DC490" s="54" t="s">
        <v>235</v>
      </c>
      <c r="DD490" s="44"/>
      <c r="DE490" s="44"/>
      <c r="DG490" s="53"/>
      <c r="DH490" s="55">
        <f>DI412+yrsuntilret-DH481</f>
        <v>1989</v>
      </c>
      <c r="DL490" s="44"/>
      <c r="DM490" s="97"/>
    </row>
    <row r="491" spans="2:117" ht="15" customHeight="1">
      <c r="B491" s="34"/>
      <c r="CC491"/>
      <c r="CD491"/>
      <c r="CE491"/>
      <c r="CF491"/>
      <c r="CG491"/>
      <c r="CH491"/>
      <c r="CI491"/>
      <c r="CJ491"/>
      <c r="CK491"/>
      <c r="CL491"/>
      <c r="CM491"/>
      <c r="CN491"/>
      <c r="CO491"/>
      <c r="CP491" s="44"/>
      <c r="DA491" s="34"/>
      <c r="DB491" s="34"/>
      <c r="DC491" s="54"/>
      <c r="DD491" s="44"/>
      <c r="DE491" s="44"/>
      <c r="DG491" s="53"/>
      <c r="DH491" s="55"/>
      <c r="DL491" s="44"/>
      <c r="DM491" s="97"/>
    </row>
    <row r="492" spans="2:117" ht="15" customHeight="1">
      <c r="B492" s="34"/>
      <c r="CC492"/>
      <c r="CD492"/>
      <c r="CE492"/>
      <c r="CF492"/>
      <c r="CG492"/>
      <c r="CH492"/>
      <c r="CI492"/>
      <c r="CJ492"/>
      <c r="CK492"/>
      <c r="CL492"/>
      <c r="CM492"/>
      <c r="CN492"/>
      <c r="CO492"/>
      <c r="CP492" s="44"/>
      <c r="DA492" s="34">
        <f>DA490+0.01</f>
        <v>5.069999999999999</v>
      </c>
      <c r="DB492" s="34"/>
      <c r="DC492" s="56" t="s">
        <v>236</v>
      </c>
      <c r="DD492" s="44"/>
      <c r="DE492" s="44"/>
      <c r="DG492" s="53"/>
      <c r="DH492" s="87">
        <f>retage-currentage</f>
        <v>30</v>
      </c>
      <c r="DL492" s="44"/>
      <c r="DM492" s="97"/>
    </row>
    <row r="493" spans="2:117" ht="15" customHeight="1">
      <c r="B493" s="34"/>
      <c r="CC493"/>
      <c r="CD493"/>
      <c r="CE493"/>
      <c r="CF493"/>
      <c r="CG493"/>
      <c r="CH493"/>
      <c r="CI493"/>
      <c r="CJ493"/>
      <c r="CK493"/>
      <c r="CL493"/>
      <c r="CM493"/>
      <c r="CN493"/>
      <c r="CO493"/>
      <c r="CP493" s="44"/>
      <c r="DA493" s="34"/>
      <c r="DB493" s="34"/>
      <c r="DC493" s="44"/>
      <c r="DD493" s="44"/>
      <c r="DE493" s="44"/>
      <c r="DG493" s="53"/>
      <c r="DH493" s="42"/>
      <c r="DL493" s="44"/>
      <c r="DM493" s="97"/>
    </row>
    <row r="494" spans="2:117" ht="15" customHeight="1">
      <c r="B494" s="34"/>
      <c r="CC494"/>
      <c r="CD494"/>
      <c r="CE494"/>
      <c r="CF494"/>
      <c r="CG494"/>
      <c r="CH494"/>
      <c r="CI494"/>
      <c r="CJ494"/>
      <c r="CK494"/>
      <c r="CL494"/>
      <c r="CM494"/>
      <c r="CN494"/>
      <c r="CO494"/>
      <c r="CP494" s="44"/>
      <c r="DA494" s="34">
        <f>DA492+0.01</f>
        <v>5.079999999999999</v>
      </c>
      <c r="DB494" s="34"/>
      <c r="DC494" s="56" t="s">
        <v>237</v>
      </c>
      <c r="DD494" s="44"/>
      <c r="DE494" s="44"/>
      <c r="DG494" s="53"/>
      <c r="DH494" s="55">
        <f>VLOOKUP(retage,DC501:DE536,maritalstatus+1)-retage</f>
        <v>25</v>
      </c>
      <c r="DL494" s="44"/>
      <c r="DM494" s="97"/>
    </row>
    <row r="495" spans="2:117" ht="15" customHeight="1">
      <c r="B495" s="34"/>
      <c r="CC495"/>
      <c r="CD495"/>
      <c r="CE495"/>
      <c r="CF495"/>
      <c r="CG495"/>
      <c r="CH495"/>
      <c r="CI495"/>
      <c r="CJ495"/>
      <c r="CK495"/>
      <c r="CL495"/>
      <c r="CM495"/>
      <c r="CN495"/>
      <c r="CO495"/>
      <c r="CP495" s="44"/>
      <c r="DA495" s="34"/>
      <c r="DB495" s="34"/>
      <c r="DC495" s="44"/>
      <c r="DD495" s="44"/>
      <c r="DE495" s="44"/>
      <c r="DG495" s="53"/>
      <c r="DH495" s="42"/>
      <c r="DL495" s="44"/>
      <c r="DM495" s="97"/>
    </row>
    <row r="496" spans="2:117" ht="15" customHeight="1">
      <c r="B496" s="34"/>
      <c r="CC496"/>
      <c r="CD496"/>
      <c r="CE496"/>
      <c r="CF496"/>
      <c r="CG496"/>
      <c r="CH496"/>
      <c r="CI496"/>
      <c r="CJ496"/>
      <c r="CK496"/>
      <c r="CL496"/>
      <c r="CM496"/>
      <c r="CN496"/>
      <c r="CO496"/>
      <c r="CP496" s="44"/>
      <c r="DA496" s="34"/>
      <c r="DB496" s="34"/>
      <c r="DC496" s="58"/>
      <c r="DD496" s="59" t="s">
        <v>238</v>
      </c>
      <c r="DE496" s="59"/>
      <c r="DG496" s="53"/>
      <c r="DH496" s="42"/>
      <c r="DL496" s="44"/>
      <c r="DM496" s="97"/>
    </row>
    <row r="497" spans="2:117" ht="15" customHeight="1">
      <c r="B497" s="34"/>
      <c r="CC497"/>
      <c r="CD497"/>
      <c r="CE497"/>
      <c r="CF497"/>
      <c r="CG497"/>
      <c r="CH497"/>
      <c r="CI497"/>
      <c r="CJ497"/>
      <c r="CK497"/>
      <c r="CL497"/>
      <c r="CM497"/>
      <c r="CN497"/>
      <c r="CO497"/>
      <c r="CP497" s="44"/>
      <c r="DA497" s="34"/>
      <c r="DB497" s="34"/>
      <c r="DD497" s="60" t="s">
        <v>239</v>
      </c>
      <c r="DE497" s="60"/>
      <c r="DG497" s="53"/>
      <c r="DH497" s="42"/>
      <c r="DL497" s="44"/>
      <c r="DM497" s="97"/>
    </row>
    <row r="498" spans="2:117" ht="15" customHeight="1">
      <c r="B498" s="34"/>
      <c r="CC498"/>
      <c r="CD498"/>
      <c r="CE498"/>
      <c r="CF498"/>
      <c r="CG498"/>
      <c r="CH498"/>
      <c r="CI498"/>
      <c r="CJ498"/>
      <c r="CK498"/>
      <c r="CL498"/>
      <c r="CM498"/>
      <c r="CN498"/>
      <c r="CO498"/>
      <c r="CP498" s="44"/>
      <c r="DA498" s="34"/>
      <c r="DB498" s="34"/>
      <c r="DC498" s="58" t="s">
        <v>240</v>
      </c>
      <c r="DD498" s="59"/>
      <c r="DE498" s="59" t="s">
        <v>241</v>
      </c>
      <c r="DF498" s="46">
        <v>6</v>
      </c>
      <c r="DG498" s="53"/>
      <c r="DH498" s="42"/>
      <c r="DL498" s="44"/>
      <c r="DM498" s="97"/>
    </row>
    <row r="499" spans="2:117" ht="15" customHeight="1">
      <c r="B499" s="34"/>
      <c r="CC499"/>
      <c r="CD499"/>
      <c r="CE499"/>
      <c r="CF499"/>
      <c r="CG499"/>
      <c r="CH499"/>
      <c r="CI499"/>
      <c r="CJ499"/>
      <c r="CK499"/>
      <c r="CL499"/>
      <c r="CM499"/>
      <c r="CN499"/>
      <c r="CO499"/>
      <c r="CP499" s="44"/>
      <c r="DA499" s="34"/>
      <c r="DB499" s="34"/>
      <c r="DC499" s="61" t="s">
        <v>242</v>
      </c>
      <c r="DD499" s="61" t="s">
        <v>243</v>
      </c>
      <c r="DE499" s="62" t="s">
        <v>244</v>
      </c>
      <c r="DF499" s="60"/>
      <c r="DG499" s="53"/>
      <c r="DH499" s="42"/>
      <c r="DL499" s="44"/>
      <c r="DM499" s="97"/>
    </row>
    <row r="500" spans="2:117" ht="15" customHeight="1">
      <c r="B500" s="34"/>
      <c r="CC500"/>
      <c r="CD500"/>
      <c r="CE500"/>
      <c r="CF500"/>
      <c r="CG500"/>
      <c r="CH500"/>
      <c r="CI500"/>
      <c r="CJ500"/>
      <c r="CK500"/>
      <c r="CL500"/>
      <c r="CM500"/>
      <c r="CN500"/>
      <c r="CO500"/>
      <c r="CP500" s="44"/>
      <c r="DA500" s="34"/>
      <c r="DB500" s="34"/>
      <c r="DC500" s="44"/>
      <c r="DD500" s="44"/>
      <c r="DE500" s="44"/>
      <c r="DG500" s="53"/>
      <c r="DH500" s="42"/>
      <c r="DL500" s="44"/>
      <c r="DM500" s="97"/>
    </row>
    <row r="501" spans="2:117" ht="15" customHeight="1">
      <c r="B501" s="34"/>
      <c r="CC501"/>
      <c r="CD501"/>
      <c r="CE501"/>
      <c r="CF501"/>
      <c r="CG501"/>
      <c r="CH501"/>
      <c r="CI501"/>
      <c r="CJ501"/>
      <c r="CK501"/>
      <c r="CL501"/>
      <c r="CM501"/>
      <c r="CN501"/>
      <c r="CO501"/>
      <c r="CP501" s="44"/>
      <c r="DA501" s="34"/>
      <c r="DB501" s="34"/>
      <c r="DC501" s="63">
        <v>40</v>
      </c>
      <c r="DD501" s="63">
        <f aca="true" t="shared" si="3" ref="DD501:DD536">ROUND(DG501,0)</f>
        <v>78</v>
      </c>
      <c r="DE501" s="63">
        <f aca="true" t="shared" si="4" ref="DE501:DE536">DD501+$DF$498</f>
        <v>84</v>
      </c>
      <c r="DG501" s="64">
        <v>78</v>
      </c>
      <c r="DH501" s="42"/>
      <c r="DI501" s="29" t="s">
        <v>245</v>
      </c>
      <c r="DL501" s="44"/>
      <c r="DM501" s="97"/>
    </row>
    <row r="502" spans="2:117" ht="15" customHeight="1">
      <c r="B502" s="34"/>
      <c r="CC502"/>
      <c r="CD502"/>
      <c r="CE502"/>
      <c r="CF502"/>
      <c r="CG502"/>
      <c r="CH502"/>
      <c r="CI502"/>
      <c r="CJ502"/>
      <c r="CK502"/>
      <c r="CL502"/>
      <c r="CM502"/>
      <c r="CN502"/>
      <c r="CO502"/>
      <c r="CP502" s="44"/>
      <c r="DA502" s="34"/>
      <c r="DB502" s="34"/>
      <c r="DC502" s="63">
        <f aca="true" t="shared" si="5" ref="DC502:DC536">DC501+1</f>
        <v>41</v>
      </c>
      <c r="DD502" s="63">
        <f t="shared" si="3"/>
        <v>78</v>
      </c>
      <c r="DE502" s="63">
        <f t="shared" si="4"/>
        <v>84</v>
      </c>
      <c r="DG502" s="65">
        <f aca="true" t="shared" si="6" ref="DG502:DG535">DG501+(DG$536-DG$501)/(DC$536-DC$501)</f>
        <v>78.25714285714285</v>
      </c>
      <c r="DH502" s="42"/>
      <c r="DI502" s="29" t="s">
        <v>246</v>
      </c>
      <c r="DL502" s="44"/>
      <c r="DM502" s="97"/>
    </row>
    <row r="503" spans="2:117" ht="15" customHeight="1">
      <c r="B503" s="34"/>
      <c r="CC503"/>
      <c r="CD503"/>
      <c r="CE503"/>
      <c r="CF503"/>
      <c r="CG503"/>
      <c r="CH503"/>
      <c r="CI503"/>
      <c r="CJ503"/>
      <c r="CK503"/>
      <c r="CL503"/>
      <c r="CM503"/>
      <c r="CN503"/>
      <c r="CO503"/>
      <c r="CP503" s="44"/>
      <c r="DA503" s="34"/>
      <c r="DB503" s="34"/>
      <c r="DC503" s="63">
        <f t="shared" si="5"/>
        <v>42</v>
      </c>
      <c r="DD503" s="63">
        <f t="shared" si="3"/>
        <v>79</v>
      </c>
      <c r="DE503" s="63">
        <f t="shared" si="4"/>
        <v>85</v>
      </c>
      <c r="DG503" s="65">
        <f t="shared" si="6"/>
        <v>78.5142857142857</v>
      </c>
      <c r="DH503" s="42"/>
      <c r="DI503" s="29" t="s">
        <v>246</v>
      </c>
      <c r="DL503" s="44"/>
      <c r="DM503" s="97"/>
    </row>
    <row r="504" spans="2:117" ht="15" customHeight="1">
      <c r="B504" s="34"/>
      <c r="CC504"/>
      <c r="CD504"/>
      <c r="CE504"/>
      <c r="CF504"/>
      <c r="CG504"/>
      <c r="CH504"/>
      <c r="CI504"/>
      <c r="CJ504"/>
      <c r="CK504"/>
      <c r="CL504"/>
      <c r="CM504"/>
      <c r="CN504"/>
      <c r="CO504"/>
      <c r="CP504" s="44"/>
      <c r="DA504" s="34"/>
      <c r="DB504" s="34"/>
      <c r="DC504" s="63">
        <f t="shared" si="5"/>
        <v>43</v>
      </c>
      <c r="DD504" s="63">
        <f t="shared" si="3"/>
        <v>79</v>
      </c>
      <c r="DE504" s="63">
        <f t="shared" si="4"/>
        <v>85</v>
      </c>
      <c r="DG504" s="65">
        <f t="shared" si="6"/>
        <v>78.77142857142856</v>
      </c>
      <c r="DH504" s="42"/>
      <c r="DI504" s="29" t="s">
        <v>246</v>
      </c>
      <c r="DL504" s="44"/>
      <c r="DM504" s="97"/>
    </row>
    <row r="505" spans="2:117" ht="15" customHeight="1">
      <c r="B505" s="34"/>
      <c r="CC505"/>
      <c r="CD505"/>
      <c r="CE505"/>
      <c r="CF505"/>
      <c r="CG505"/>
      <c r="CH505"/>
      <c r="CI505"/>
      <c r="CJ505"/>
      <c r="CK505"/>
      <c r="CL505"/>
      <c r="CM505"/>
      <c r="CN505"/>
      <c r="CO505"/>
      <c r="CP505" s="44"/>
      <c r="DA505" s="34"/>
      <c r="DB505" s="34"/>
      <c r="DC505" s="63">
        <f t="shared" si="5"/>
        <v>44</v>
      </c>
      <c r="DD505" s="63">
        <f t="shared" si="3"/>
        <v>79</v>
      </c>
      <c r="DE505" s="63">
        <f t="shared" si="4"/>
        <v>85</v>
      </c>
      <c r="DG505" s="65">
        <f t="shared" si="6"/>
        <v>79.02857142857141</v>
      </c>
      <c r="DH505" s="42"/>
      <c r="DI505" s="29" t="s">
        <v>246</v>
      </c>
      <c r="DL505" s="44"/>
      <c r="DM505" s="97"/>
    </row>
    <row r="506" spans="2:117" ht="15" customHeight="1">
      <c r="B506" s="34"/>
      <c r="CC506"/>
      <c r="CD506"/>
      <c r="CE506"/>
      <c r="CF506"/>
      <c r="CG506"/>
      <c r="CH506"/>
      <c r="CI506"/>
      <c r="CJ506"/>
      <c r="CK506"/>
      <c r="CL506"/>
      <c r="CM506"/>
      <c r="CN506"/>
      <c r="CO506"/>
      <c r="CP506" s="44"/>
      <c r="DA506" s="34"/>
      <c r="DB506" s="34"/>
      <c r="DC506" s="63">
        <f t="shared" si="5"/>
        <v>45</v>
      </c>
      <c r="DD506" s="63">
        <f t="shared" si="3"/>
        <v>79</v>
      </c>
      <c r="DE506" s="63">
        <f t="shared" si="4"/>
        <v>85</v>
      </c>
      <c r="DG506" s="65">
        <f t="shared" si="6"/>
        <v>79.28571428571426</v>
      </c>
      <c r="DH506" s="42"/>
      <c r="DI506" s="29" t="s">
        <v>246</v>
      </c>
      <c r="DL506" s="44"/>
      <c r="DM506" s="97"/>
    </row>
    <row r="507" spans="2:117" ht="15" customHeight="1">
      <c r="B507" s="34"/>
      <c r="CC507"/>
      <c r="CD507"/>
      <c r="CE507"/>
      <c r="CF507"/>
      <c r="CG507"/>
      <c r="CH507"/>
      <c r="CI507"/>
      <c r="CJ507"/>
      <c r="CK507"/>
      <c r="CL507"/>
      <c r="CM507"/>
      <c r="CN507"/>
      <c r="CO507"/>
      <c r="CP507" s="44"/>
      <c r="DA507" s="34"/>
      <c r="DB507" s="34"/>
      <c r="DC507" s="63">
        <f t="shared" si="5"/>
        <v>46</v>
      </c>
      <c r="DD507" s="63">
        <f t="shared" si="3"/>
        <v>80</v>
      </c>
      <c r="DE507" s="63">
        <f t="shared" si="4"/>
        <v>86</v>
      </c>
      <c r="DG507" s="65">
        <f t="shared" si="6"/>
        <v>79.54285714285712</v>
      </c>
      <c r="DH507" s="42"/>
      <c r="DI507" s="29" t="s">
        <v>246</v>
      </c>
      <c r="DL507" s="44"/>
      <c r="DM507" s="97"/>
    </row>
    <row r="508" spans="2:117" ht="15" customHeight="1">
      <c r="B508" s="34"/>
      <c r="CC508"/>
      <c r="CD508"/>
      <c r="CE508"/>
      <c r="CF508"/>
      <c r="CG508"/>
      <c r="CH508"/>
      <c r="CI508"/>
      <c r="CJ508"/>
      <c r="CK508"/>
      <c r="CL508"/>
      <c r="CM508"/>
      <c r="CN508"/>
      <c r="CO508"/>
      <c r="CP508" s="44"/>
      <c r="DA508" s="34"/>
      <c r="DB508" s="34"/>
      <c r="DC508" s="63">
        <f t="shared" si="5"/>
        <v>47</v>
      </c>
      <c r="DD508" s="63">
        <f t="shared" si="3"/>
        <v>80</v>
      </c>
      <c r="DE508" s="63">
        <f t="shared" si="4"/>
        <v>86</v>
      </c>
      <c r="DG508" s="65">
        <f t="shared" si="6"/>
        <v>79.79999999999997</v>
      </c>
      <c r="DH508" s="42"/>
      <c r="DI508" s="29" t="s">
        <v>246</v>
      </c>
      <c r="DL508" s="44"/>
      <c r="DM508" s="97"/>
    </row>
    <row r="509" spans="2:117" ht="15" customHeight="1">
      <c r="B509" s="34"/>
      <c r="CC509"/>
      <c r="CD509"/>
      <c r="CE509"/>
      <c r="CF509"/>
      <c r="CG509"/>
      <c r="CH509"/>
      <c r="CI509"/>
      <c r="CJ509"/>
      <c r="CK509"/>
      <c r="CL509"/>
      <c r="CM509"/>
      <c r="CN509"/>
      <c r="CO509"/>
      <c r="CP509" s="44"/>
      <c r="DA509" s="34"/>
      <c r="DB509" s="34"/>
      <c r="DC509" s="63">
        <f t="shared" si="5"/>
        <v>48</v>
      </c>
      <c r="DD509" s="63">
        <f t="shared" si="3"/>
        <v>80</v>
      </c>
      <c r="DE509" s="63">
        <f t="shared" si="4"/>
        <v>86</v>
      </c>
      <c r="DG509" s="65">
        <f t="shared" si="6"/>
        <v>80.05714285714282</v>
      </c>
      <c r="DH509" s="42"/>
      <c r="DI509" s="29" t="s">
        <v>246</v>
      </c>
      <c r="DL509" s="44"/>
      <c r="DM509" s="97"/>
    </row>
    <row r="510" spans="2:117" ht="15" customHeight="1">
      <c r="B510" s="34"/>
      <c r="CC510"/>
      <c r="CD510"/>
      <c r="CE510"/>
      <c r="CF510"/>
      <c r="CG510"/>
      <c r="CH510"/>
      <c r="CI510"/>
      <c r="CJ510"/>
      <c r="CK510"/>
      <c r="CL510"/>
      <c r="CM510"/>
      <c r="CN510"/>
      <c r="CO510"/>
      <c r="CP510" s="44"/>
      <c r="DA510" s="34"/>
      <c r="DB510" s="34"/>
      <c r="DC510" s="63">
        <f t="shared" si="5"/>
        <v>49</v>
      </c>
      <c r="DD510" s="63">
        <f t="shared" si="3"/>
        <v>80</v>
      </c>
      <c r="DE510" s="63">
        <f t="shared" si="4"/>
        <v>86</v>
      </c>
      <c r="DG510" s="65">
        <f t="shared" si="6"/>
        <v>80.31428571428567</v>
      </c>
      <c r="DH510" s="42"/>
      <c r="DI510" s="29" t="s">
        <v>246</v>
      </c>
      <c r="DL510" s="44"/>
      <c r="DM510" s="97"/>
    </row>
    <row r="511" spans="2:117" ht="15" customHeight="1">
      <c r="B511" s="34"/>
      <c r="CC511"/>
      <c r="CD511"/>
      <c r="CE511"/>
      <c r="CF511"/>
      <c r="CG511"/>
      <c r="CH511"/>
      <c r="CI511"/>
      <c r="CJ511"/>
      <c r="CK511"/>
      <c r="CL511"/>
      <c r="CM511"/>
      <c r="CN511"/>
      <c r="CO511"/>
      <c r="CP511" s="44"/>
      <c r="DA511" s="34"/>
      <c r="DB511" s="34"/>
      <c r="DC511" s="63">
        <f t="shared" si="5"/>
        <v>50</v>
      </c>
      <c r="DD511" s="63">
        <f t="shared" si="3"/>
        <v>81</v>
      </c>
      <c r="DE511" s="63">
        <f t="shared" si="4"/>
        <v>87</v>
      </c>
      <c r="DG511" s="65">
        <f t="shared" si="6"/>
        <v>80.57142857142853</v>
      </c>
      <c r="DH511" s="42"/>
      <c r="DI511" s="29" t="s">
        <v>246</v>
      </c>
      <c r="DL511" s="44"/>
      <c r="DM511" s="97"/>
    </row>
    <row r="512" spans="2:117" ht="15" customHeight="1">
      <c r="B512" s="34"/>
      <c r="CC512"/>
      <c r="CD512"/>
      <c r="CE512"/>
      <c r="CF512"/>
      <c r="CG512"/>
      <c r="CH512"/>
      <c r="CI512"/>
      <c r="CJ512"/>
      <c r="CK512"/>
      <c r="CL512"/>
      <c r="CM512"/>
      <c r="CN512"/>
      <c r="CO512"/>
      <c r="CP512" s="44"/>
      <c r="DA512" s="34"/>
      <c r="DB512" s="34"/>
      <c r="DC512" s="63">
        <f t="shared" si="5"/>
        <v>51</v>
      </c>
      <c r="DD512" s="63">
        <f t="shared" si="3"/>
        <v>81</v>
      </c>
      <c r="DE512" s="63">
        <f t="shared" si="4"/>
        <v>87</v>
      </c>
      <c r="DG512" s="65">
        <f t="shared" si="6"/>
        <v>80.82857142857138</v>
      </c>
      <c r="DH512" s="42"/>
      <c r="DI512" s="29" t="s">
        <v>246</v>
      </c>
      <c r="DL512" s="44"/>
      <c r="DM512" s="97"/>
    </row>
    <row r="513" spans="2:117" ht="15" customHeight="1">
      <c r="B513" s="34"/>
      <c r="CC513"/>
      <c r="CD513"/>
      <c r="CE513"/>
      <c r="CF513"/>
      <c r="CG513"/>
      <c r="CH513"/>
      <c r="CI513"/>
      <c r="CJ513"/>
      <c r="CK513"/>
      <c r="CL513"/>
      <c r="CM513"/>
      <c r="CN513"/>
      <c r="CO513"/>
      <c r="CP513" s="44"/>
      <c r="DA513" s="34"/>
      <c r="DB513" s="34"/>
      <c r="DC513" s="63">
        <f t="shared" si="5"/>
        <v>52</v>
      </c>
      <c r="DD513" s="63">
        <f t="shared" si="3"/>
        <v>81</v>
      </c>
      <c r="DE513" s="63">
        <f t="shared" si="4"/>
        <v>87</v>
      </c>
      <c r="DG513" s="65">
        <f t="shared" si="6"/>
        <v>81.08571428571423</v>
      </c>
      <c r="DH513" s="42"/>
      <c r="DI513" s="29" t="s">
        <v>246</v>
      </c>
      <c r="DL513" s="44"/>
      <c r="DM513" s="97"/>
    </row>
    <row r="514" spans="2:117" ht="15" customHeight="1">
      <c r="B514" s="34"/>
      <c r="CC514"/>
      <c r="CD514"/>
      <c r="CE514"/>
      <c r="CF514"/>
      <c r="CG514"/>
      <c r="CH514"/>
      <c r="CI514"/>
      <c r="CJ514"/>
      <c r="CK514"/>
      <c r="CL514"/>
      <c r="CM514"/>
      <c r="CN514"/>
      <c r="CO514"/>
      <c r="CP514" s="44"/>
      <c r="DA514" s="34"/>
      <c r="DB514" s="34"/>
      <c r="DC514" s="63">
        <f t="shared" si="5"/>
        <v>53</v>
      </c>
      <c r="DD514" s="63">
        <f t="shared" si="3"/>
        <v>81</v>
      </c>
      <c r="DE514" s="63">
        <f t="shared" si="4"/>
        <v>87</v>
      </c>
      <c r="DG514" s="65">
        <f t="shared" si="6"/>
        <v>81.34285714285708</v>
      </c>
      <c r="DH514" s="42"/>
      <c r="DI514" s="29" t="s">
        <v>246</v>
      </c>
      <c r="DL514" s="44"/>
      <c r="DM514" s="97"/>
    </row>
    <row r="515" spans="2:117" ht="15" customHeight="1">
      <c r="B515" s="34"/>
      <c r="CC515"/>
      <c r="CD515"/>
      <c r="CE515"/>
      <c r="CF515"/>
      <c r="CG515"/>
      <c r="CH515"/>
      <c r="CI515"/>
      <c r="CJ515"/>
      <c r="CK515"/>
      <c r="CL515"/>
      <c r="CM515"/>
      <c r="CN515"/>
      <c r="CO515"/>
      <c r="CP515" s="44"/>
      <c r="DA515" s="34"/>
      <c r="DB515" s="34"/>
      <c r="DC515" s="63">
        <f t="shared" si="5"/>
        <v>54</v>
      </c>
      <c r="DD515" s="63">
        <f t="shared" si="3"/>
        <v>82</v>
      </c>
      <c r="DE515" s="63">
        <f t="shared" si="4"/>
        <v>88</v>
      </c>
      <c r="DG515" s="65">
        <f t="shared" si="6"/>
        <v>81.59999999999994</v>
      </c>
      <c r="DH515" s="42"/>
      <c r="DI515" s="29" t="s">
        <v>246</v>
      </c>
      <c r="DL515" s="44"/>
      <c r="DM515" s="97"/>
    </row>
    <row r="516" spans="2:117" ht="15" customHeight="1">
      <c r="B516" s="34"/>
      <c r="CC516"/>
      <c r="CD516"/>
      <c r="CE516"/>
      <c r="CF516"/>
      <c r="CG516"/>
      <c r="CH516"/>
      <c r="CI516"/>
      <c r="CJ516"/>
      <c r="CK516"/>
      <c r="CL516"/>
      <c r="CM516"/>
      <c r="CN516"/>
      <c r="CO516"/>
      <c r="CP516" s="44"/>
      <c r="DA516" s="34"/>
      <c r="DB516" s="34"/>
      <c r="DC516" s="63">
        <f t="shared" si="5"/>
        <v>55</v>
      </c>
      <c r="DD516" s="63">
        <f t="shared" si="3"/>
        <v>82</v>
      </c>
      <c r="DE516" s="63">
        <f t="shared" si="4"/>
        <v>88</v>
      </c>
      <c r="DG516" s="65">
        <f t="shared" si="6"/>
        <v>81.85714285714279</v>
      </c>
      <c r="DH516" s="42"/>
      <c r="DI516" s="29" t="s">
        <v>246</v>
      </c>
      <c r="DL516" s="44"/>
      <c r="DM516" s="97"/>
    </row>
    <row r="517" spans="2:117" ht="15" customHeight="1">
      <c r="B517" s="34"/>
      <c r="CC517"/>
      <c r="CD517"/>
      <c r="CE517"/>
      <c r="CF517"/>
      <c r="CG517"/>
      <c r="CH517"/>
      <c r="CI517"/>
      <c r="CJ517"/>
      <c r="CK517"/>
      <c r="CL517"/>
      <c r="CM517"/>
      <c r="CN517"/>
      <c r="CO517"/>
      <c r="CP517" s="44"/>
      <c r="DA517" s="34"/>
      <c r="DB517" s="34"/>
      <c r="DC517" s="63">
        <f t="shared" si="5"/>
        <v>56</v>
      </c>
      <c r="DD517" s="63">
        <f t="shared" si="3"/>
        <v>82</v>
      </c>
      <c r="DE517" s="63">
        <f t="shared" si="4"/>
        <v>88</v>
      </c>
      <c r="DG517" s="65">
        <f t="shared" si="6"/>
        <v>82.11428571428564</v>
      </c>
      <c r="DH517" s="42"/>
      <c r="DI517" s="29" t="s">
        <v>246</v>
      </c>
      <c r="DL517" s="44"/>
      <c r="DM517" s="97"/>
    </row>
    <row r="518" spans="2:117" ht="15" customHeight="1">
      <c r="B518" s="34"/>
      <c r="CC518"/>
      <c r="CD518"/>
      <c r="CE518"/>
      <c r="CF518"/>
      <c r="CG518"/>
      <c r="CH518"/>
      <c r="CI518"/>
      <c r="CJ518"/>
      <c r="CK518"/>
      <c r="CL518"/>
      <c r="CM518"/>
      <c r="CN518"/>
      <c r="CO518"/>
      <c r="CP518" s="44"/>
      <c r="DA518" s="34"/>
      <c r="DB518" s="34"/>
      <c r="DC518" s="63">
        <f t="shared" si="5"/>
        <v>57</v>
      </c>
      <c r="DD518" s="63">
        <f t="shared" si="3"/>
        <v>82</v>
      </c>
      <c r="DE518" s="63">
        <f t="shared" si="4"/>
        <v>88</v>
      </c>
      <c r="DG518" s="65">
        <f t="shared" si="6"/>
        <v>82.3714285714285</v>
      </c>
      <c r="DH518" s="42"/>
      <c r="DI518" s="29" t="s">
        <v>246</v>
      </c>
      <c r="DL518" s="44"/>
      <c r="DM518" s="97"/>
    </row>
    <row r="519" spans="2:117" ht="15" customHeight="1">
      <c r="B519" s="34"/>
      <c r="CC519"/>
      <c r="CD519"/>
      <c r="CE519"/>
      <c r="CF519"/>
      <c r="CG519"/>
      <c r="CH519"/>
      <c r="CI519"/>
      <c r="CJ519"/>
      <c r="CK519"/>
      <c r="CL519"/>
      <c r="CM519"/>
      <c r="CN519"/>
      <c r="CO519"/>
      <c r="CP519" s="44"/>
      <c r="DA519" s="34"/>
      <c r="DB519" s="34"/>
      <c r="DC519" s="63">
        <f t="shared" si="5"/>
        <v>58</v>
      </c>
      <c r="DD519" s="63">
        <f t="shared" si="3"/>
        <v>83</v>
      </c>
      <c r="DE519" s="63">
        <f t="shared" si="4"/>
        <v>89</v>
      </c>
      <c r="DG519" s="65">
        <f t="shared" si="6"/>
        <v>82.62857142857135</v>
      </c>
      <c r="DH519" s="42"/>
      <c r="DI519" s="29" t="s">
        <v>246</v>
      </c>
      <c r="DL519" s="44"/>
      <c r="DM519" s="97"/>
    </row>
    <row r="520" spans="2:117" ht="15" customHeight="1">
      <c r="B520" s="34"/>
      <c r="CC520"/>
      <c r="CD520"/>
      <c r="CE520"/>
      <c r="CF520"/>
      <c r="CG520"/>
      <c r="CH520"/>
      <c r="CI520"/>
      <c r="CJ520"/>
      <c r="CK520"/>
      <c r="CL520"/>
      <c r="CM520"/>
      <c r="CN520"/>
      <c r="CO520"/>
      <c r="CP520" s="44"/>
      <c r="DA520" s="34"/>
      <c r="DB520" s="34"/>
      <c r="DC520" s="63">
        <f t="shared" si="5"/>
        <v>59</v>
      </c>
      <c r="DD520" s="63">
        <f t="shared" si="3"/>
        <v>83</v>
      </c>
      <c r="DE520" s="63">
        <f t="shared" si="4"/>
        <v>89</v>
      </c>
      <c r="DG520" s="65">
        <f t="shared" si="6"/>
        <v>82.8857142857142</v>
      </c>
      <c r="DH520" s="42"/>
      <c r="DI520" s="29" t="s">
        <v>246</v>
      </c>
      <c r="DL520" s="44"/>
      <c r="DM520" s="97"/>
    </row>
    <row r="521" spans="2:117" ht="15" customHeight="1">
      <c r="B521" s="34"/>
      <c r="CC521"/>
      <c r="CD521"/>
      <c r="CE521"/>
      <c r="CF521"/>
      <c r="CG521"/>
      <c r="CH521"/>
      <c r="CI521"/>
      <c r="CJ521"/>
      <c r="CK521"/>
      <c r="CL521"/>
      <c r="CM521"/>
      <c r="CN521"/>
      <c r="CO521"/>
      <c r="CP521" s="44"/>
      <c r="DA521" s="34"/>
      <c r="DB521" s="34"/>
      <c r="DC521" s="63">
        <f t="shared" si="5"/>
        <v>60</v>
      </c>
      <c r="DD521" s="63">
        <f t="shared" si="3"/>
        <v>83</v>
      </c>
      <c r="DE521" s="63">
        <f t="shared" si="4"/>
        <v>89</v>
      </c>
      <c r="DG521" s="65">
        <f t="shared" si="6"/>
        <v>83.14285714285705</v>
      </c>
      <c r="DH521" s="42"/>
      <c r="DI521" s="29" t="s">
        <v>246</v>
      </c>
      <c r="DL521" s="44"/>
      <c r="DM521" s="97"/>
    </row>
    <row r="522" spans="2:117" ht="15" customHeight="1">
      <c r="B522" s="34"/>
      <c r="CC522"/>
      <c r="CD522"/>
      <c r="CE522"/>
      <c r="CF522"/>
      <c r="CG522"/>
      <c r="CH522"/>
      <c r="CI522"/>
      <c r="CJ522"/>
      <c r="CK522"/>
      <c r="CL522"/>
      <c r="CM522"/>
      <c r="CN522"/>
      <c r="CO522"/>
      <c r="CP522" s="44"/>
      <c r="DA522" s="34"/>
      <c r="DB522" s="34"/>
      <c r="DC522" s="63">
        <f t="shared" si="5"/>
        <v>61</v>
      </c>
      <c r="DD522" s="63">
        <f t="shared" si="3"/>
        <v>83</v>
      </c>
      <c r="DE522" s="63">
        <f t="shared" si="4"/>
        <v>89</v>
      </c>
      <c r="DG522" s="65">
        <f t="shared" si="6"/>
        <v>83.3999999999999</v>
      </c>
      <c r="DH522" s="42"/>
      <c r="DI522" s="29" t="s">
        <v>246</v>
      </c>
      <c r="DL522" s="44"/>
      <c r="DM522" s="97"/>
    </row>
    <row r="523" spans="2:117" ht="15" customHeight="1">
      <c r="B523" s="34"/>
      <c r="CC523"/>
      <c r="CD523"/>
      <c r="CE523"/>
      <c r="CF523"/>
      <c r="CG523"/>
      <c r="CH523"/>
      <c r="CI523"/>
      <c r="CJ523"/>
      <c r="CK523"/>
      <c r="CL523"/>
      <c r="CM523"/>
      <c r="CN523"/>
      <c r="CO523"/>
      <c r="CP523" s="44"/>
      <c r="DA523" s="34"/>
      <c r="DB523" s="34"/>
      <c r="DC523" s="63">
        <f t="shared" si="5"/>
        <v>62</v>
      </c>
      <c r="DD523" s="63">
        <f t="shared" si="3"/>
        <v>84</v>
      </c>
      <c r="DE523" s="63">
        <f t="shared" si="4"/>
        <v>90</v>
      </c>
      <c r="DG523" s="65">
        <f t="shared" si="6"/>
        <v>83.65714285714276</v>
      </c>
      <c r="DH523" s="42"/>
      <c r="DI523" s="29" t="s">
        <v>246</v>
      </c>
      <c r="DL523" s="44"/>
      <c r="DM523" s="97"/>
    </row>
    <row r="524" spans="2:117" ht="15" customHeight="1">
      <c r="B524" s="34"/>
      <c r="CC524"/>
      <c r="CD524"/>
      <c r="CE524"/>
      <c r="CF524"/>
      <c r="CG524"/>
      <c r="CH524"/>
      <c r="CI524"/>
      <c r="CJ524"/>
      <c r="CK524"/>
      <c r="CL524"/>
      <c r="CM524"/>
      <c r="CN524"/>
      <c r="CO524"/>
      <c r="CP524" s="44"/>
      <c r="DA524" s="34"/>
      <c r="DB524" s="34"/>
      <c r="DC524" s="63">
        <f t="shared" si="5"/>
        <v>63</v>
      </c>
      <c r="DD524" s="63">
        <f t="shared" si="3"/>
        <v>84</v>
      </c>
      <c r="DE524" s="63">
        <f t="shared" si="4"/>
        <v>90</v>
      </c>
      <c r="DG524" s="65">
        <f t="shared" si="6"/>
        <v>83.91428571428561</v>
      </c>
      <c r="DH524" s="42"/>
      <c r="DI524" s="29" t="s">
        <v>246</v>
      </c>
      <c r="DL524" s="44"/>
      <c r="DM524" s="97"/>
    </row>
    <row r="525" spans="2:117" ht="15" customHeight="1">
      <c r="B525" s="34"/>
      <c r="CC525"/>
      <c r="CD525"/>
      <c r="CE525"/>
      <c r="CF525"/>
      <c r="CG525"/>
      <c r="CH525"/>
      <c r="CI525"/>
      <c r="CJ525"/>
      <c r="CK525"/>
      <c r="CL525"/>
      <c r="CM525"/>
      <c r="CN525"/>
      <c r="CO525"/>
      <c r="CP525" s="44"/>
      <c r="DA525" s="34"/>
      <c r="DB525" s="34"/>
      <c r="DC525" s="63">
        <f t="shared" si="5"/>
        <v>64</v>
      </c>
      <c r="DD525" s="63">
        <f t="shared" si="3"/>
        <v>84</v>
      </c>
      <c r="DE525" s="63">
        <f t="shared" si="4"/>
        <v>90</v>
      </c>
      <c r="DG525" s="65">
        <f t="shared" si="6"/>
        <v>84.17142857142846</v>
      </c>
      <c r="DH525" s="42"/>
      <c r="DI525" s="29" t="s">
        <v>246</v>
      </c>
      <c r="DL525" s="44"/>
      <c r="DM525" s="97"/>
    </row>
    <row r="526" spans="2:117" ht="15" customHeight="1">
      <c r="B526" s="34"/>
      <c r="CC526"/>
      <c r="CD526"/>
      <c r="CE526"/>
      <c r="CF526"/>
      <c r="CG526"/>
      <c r="CH526"/>
      <c r="CI526"/>
      <c r="CJ526"/>
      <c r="CK526"/>
      <c r="CL526"/>
      <c r="CM526"/>
      <c r="CN526"/>
      <c r="CO526"/>
      <c r="CP526" s="44"/>
      <c r="DA526" s="34"/>
      <c r="DB526" s="34"/>
      <c r="DC526" s="63">
        <f t="shared" si="5"/>
        <v>65</v>
      </c>
      <c r="DD526" s="63">
        <f t="shared" si="3"/>
        <v>84</v>
      </c>
      <c r="DE526" s="63">
        <f t="shared" si="4"/>
        <v>90</v>
      </c>
      <c r="DG526" s="65">
        <f t="shared" si="6"/>
        <v>84.42857142857132</v>
      </c>
      <c r="DH526" s="42"/>
      <c r="DI526" s="29" t="s">
        <v>246</v>
      </c>
      <c r="DL526" s="44"/>
      <c r="DM526" s="97"/>
    </row>
    <row r="527" spans="2:117" ht="15" customHeight="1">
      <c r="B527" s="34"/>
      <c r="CC527"/>
      <c r="CD527"/>
      <c r="CE527"/>
      <c r="CF527"/>
      <c r="CG527"/>
      <c r="CH527"/>
      <c r="CI527"/>
      <c r="CJ527"/>
      <c r="CK527"/>
      <c r="CL527"/>
      <c r="CM527"/>
      <c r="CN527"/>
      <c r="CO527"/>
      <c r="CP527" s="44"/>
      <c r="DA527" s="34"/>
      <c r="DB527" s="34"/>
      <c r="DC527" s="63">
        <f t="shared" si="5"/>
        <v>66</v>
      </c>
      <c r="DD527" s="63">
        <f t="shared" si="3"/>
        <v>85</v>
      </c>
      <c r="DE527" s="63">
        <f t="shared" si="4"/>
        <v>91</v>
      </c>
      <c r="DG527" s="65">
        <f t="shared" si="6"/>
        <v>84.68571428571417</v>
      </c>
      <c r="DH527" s="42"/>
      <c r="DI527" s="29" t="s">
        <v>246</v>
      </c>
      <c r="DL527" s="44"/>
      <c r="DM527" s="97"/>
    </row>
    <row r="528" spans="2:117" ht="15" customHeight="1">
      <c r="B528" s="34"/>
      <c r="CC528"/>
      <c r="CD528"/>
      <c r="CE528"/>
      <c r="CF528"/>
      <c r="CG528"/>
      <c r="CH528"/>
      <c r="CI528"/>
      <c r="CJ528"/>
      <c r="CK528"/>
      <c r="CL528"/>
      <c r="CM528"/>
      <c r="CN528"/>
      <c r="CO528"/>
      <c r="CP528" s="44"/>
      <c r="DA528" s="34"/>
      <c r="DB528" s="34"/>
      <c r="DC528" s="63">
        <f t="shared" si="5"/>
        <v>67</v>
      </c>
      <c r="DD528" s="63">
        <f t="shared" si="3"/>
        <v>85</v>
      </c>
      <c r="DE528" s="63">
        <f t="shared" si="4"/>
        <v>91</v>
      </c>
      <c r="DG528" s="65">
        <f t="shared" si="6"/>
        <v>84.94285714285702</v>
      </c>
      <c r="DH528" s="42"/>
      <c r="DI528" s="29" t="s">
        <v>246</v>
      </c>
      <c r="DL528" s="44"/>
      <c r="DM528" s="97"/>
    </row>
    <row r="529" spans="2:117" ht="15" customHeight="1">
      <c r="B529" s="34"/>
      <c r="CC529"/>
      <c r="CD529"/>
      <c r="CE529"/>
      <c r="CF529"/>
      <c r="CG529"/>
      <c r="CH529"/>
      <c r="CI529"/>
      <c r="CJ529"/>
      <c r="CK529"/>
      <c r="CL529"/>
      <c r="CM529"/>
      <c r="CN529"/>
      <c r="CO529"/>
      <c r="CP529" s="44"/>
      <c r="DA529" s="34"/>
      <c r="DB529" s="34"/>
      <c r="DC529" s="63">
        <f t="shared" si="5"/>
        <v>68</v>
      </c>
      <c r="DD529" s="63">
        <f t="shared" si="3"/>
        <v>85</v>
      </c>
      <c r="DE529" s="63">
        <f t="shared" si="4"/>
        <v>91</v>
      </c>
      <c r="DG529" s="65">
        <f t="shared" si="6"/>
        <v>85.19999999999987</v>
      </c>
      <c r="DH529" s="42"/>
      <c r="DI529" s="29" t="s">
        <v>246</v>
      </c>
      <c r="DL529" s="44"/>
      <c r="DM529" s="97"/>
    </row>
    <row r="530" spans="2:117" ht="15" customHeight="1">
      <c r="B530" s="34"/>
      <c r="CC530"/>
      <c r="CD530"/>
      <c r="CE530"/>
      <c r="CF530"/>
      <c r="CG530"/>
      <c r="CH530"/>
      <c r="CI530"/>
      <c r="CJ530"/>
      <c r="CK530"/>
      <c r="CL530"/>
      <c r="CM530"/>
      <c r="CN530"/>
      <c r="CO530"/>
      <c r="CP530" s="44"/>
      <c r="DA530" s="34"/>
      <c r="DB530" s="34"/>
      <c r="DC530" s="63">
        <f t="shared" si="5"/>
        <v>69</v>
      </c>
      <c r="DD530" s="63">
        <f t="shared" si="3"/>
        <v>85</v>
      </c>
      <c r="DE530" s="63">
        <f t="shared" si="4"/>
        <v>91</v>
      </c>
      <c r="DG530" s="65">
        <f t="shared" si="6"/>
        <v>85.45714285714273</v>
      </c>
      <c r="DH530" s="42"/>
      <c r="DI530" s="29" t="s">
        <v>246</v>
      </c>
      <c r="DL530" s="44"/>
      <c r="DM530" s="97"/>
    </row>
    <row r="531" spans="2:117" ht="15" customHeight="1">
      <c r="B531" s="34"/>
      <c r="CC531"/>
      <c r="CD531"/>
      <c r="CE531"/>
      <c r="CF531"/>
      <c r="CG531"/>
      <c r="CH531"/>
      <c r="CI531"/>
      <c r="CJ531"/>
      <c r="CK531"/>
      <c r="CL531"/>
      <c r="CM531"/>
      <c r="CN531"/>
      <c r="CO531"/>
      <c r="CP531" s="44"/>
      <c r="DA531" s="34"/>
      <c r="DB531" s="34"/>
      <c r="DC531" s="63">
        <f t="shared" si="5"/>
        <v>70</v>
      </c>
      <c r="DD531" s="63">
        <f t="shared" si="3"/>
        <v>86</v>
      </c>
      <c r="DE531" s="63">
        <f t="shared" si="4"/>
        <v>92</v>
      </c>
      <c r="DG531" s="65">
        <f t="shared" si="6"/>
        <v>85.71428571428558</v>
      </c>
      <c r="DH531" s="42"/>
      <c r="DI531" s="29" t="s">
        <v>246</v>
      </c>
      <c r="DL531" s="44"/>
      <c r="DM531" s="97"/>
    </row>
    <row r="532" spans="2:117" ht="15" customHeight="1">
      <c r="B532" s="34"/>
      <c r="CC532"/>
      <c r="CD532"/>
      <c r="CE532"/>
      <c r="CF532"/>
      <c r="CG532"/>
      <c r="CH532"/>
      <c r="CI532"/>
      <c r="CJ532"/>
      <c r="CK532"/>
      <c r="CL532"/>
      <c r="CM532"/>
      <c r="CN532"/>
      <c r="CO532"/>
      <c r="CP532" s="44"/>
      <c r="DA532" s="34"/>
      <c r="DB532" s="34"/>
      <c r="DC532" s="63">
        <f t="shared" si="5"/>
        <v>71</v>
      </c>
      <c r="DD532" s="63">
        <f t="shared" si="3"/>
        <v>86</v>
      </c>
      <c r="DE532" s="63">
        <f t="shared" si="4"/>
        <v>92</v>
      </c>
      <c r="DG532" s="65">
        <f t="shared" si="6"/>
        <v>85.97142857142843</v>
      </c>
      <c r="DH532" s="42"/>
      <c r="DI532" s="29" t="s">
        <v>246</v>
      </c>
      <c r="DL532" s="44"/>
      <c r="DM532" s="97"/>
    </row>
    <row r="533" spans="2:117" ht="15" customHeight="1">
      <c r="B533" s="34"/>
      <c r="CC533"/>
      <c r="CD533"/>
      <c r="CE533"/>
      <c r="CF533"/>
      <c r="CG533"/>
      <c r="CH533"/>
      <c r="CI533"/>
      <c r="CJ533"/>
      <c r="CK533"/>
      <c r="CL533"/>
      <c r="CM533"/>
      <c r="CN533"/>
      <c r="CO533"/>
      <c r="CP533" s="44"/>
      <c r="DA533" s="34"/>
      <c r="DB533" s="34"/>
      <c r="DC533" s="63">
        <f t="shared" si="5"/>
        <v>72</v>
      </c>
      <c r="DD533" s="63">
        <f t="shared" si="3"/>
        <v>86</v>
      </c>
      <c r="DE533" s="63">
        <f t="shared" si="4"/>
        <v>92</v>
      </c>
      <c r="DG533" s="65">
        <f t="shared" si="6"/>
        <v>86.22857142857129</v>
      </c>
      <c r="DH533" s="42"/>
      <c r="DI533" s="29" t="s">
        <v>246</v>
      </c>
      <c r="DL533" s="44"/>
      <c r="DM533" s="97"/>
    </row>
    <row r="534" spans="2:117" ht="15" customHeight="1">
      <c r="B534" s="34"/>
      <c r="CC534"/>
      <c r="CD534"/>
      <c r="CE534"/>
      <c r="CF534"/>
      <c r="CG534"/>
      <c r="CH534"/>
      <c r="CI534"/>
      <c r="CJ534"/>
      <c r="CK534"/>
      <c r="CL534"/>
      <c r="CM534"/>
      <c r="CN534"/>
      <c r="CO534"/>
      <c r="CP534" s="44"/>
      <c r="DA534" s="34"/>
      <c r="DB534" s="34"/>
      <c r="DC534" s="63">
        <f t="shared" si="5"/>
        <v>73</v>
      </c>
      <c r="DD534" s="63">
        <f t="shared" si="3"/>
        <v>86</v>
      </c>
      <c r="DE534" s="63">
        <f t="shared" si="4"/>
        <v>92</v>
      </c>
      <c r="DG534" s="65">
        <f t="shared" si="6"/>
        <v>86.48571428571414</v>
      </c>
      <c r="DH534" s="42"/>
      <c r="DI534" s="29" t="s">
        <v>246</v>
      </c>
      <c r="DL534" s="44"/>
      <c r="DM534" s="97"/>
    </row>
    <row r="535" spans="2:117" ht="15" customHeight="1">
      <c r="B535" s="34"/>
      <c r="CC535"/>
      <c r="CD535"/>
      <c r="CE535"/>
      <c r="CF535"/>
      <c r="CG535"/>
      <c r="CH535"/>
      <c r="CI535"/>
      <c r="CJ535"/>
      <c r="CK535"/>
      <c r="CL535"/>
      <c r="CM535"/>
      <c r="CN535"/>
      <c r="CO535"/>
      <c r="CP535" s="44"/>
      <c r="DA535" s="34"/>
      <c r="DB535" s="34"/>
      <c r="DC535" s="63">
        <f t="shared" si="5"/>
        <v>74</v>
      </c>
      <c r="DD535" s="63">
        <f t="shared" si="3"/>
        <v>87</v>
      </c>
      <c r="DE535" s="63">
        <f t="shared" si="4"/>
        <v>93</v>
      </c>
      <c r="DG535" s="65">
        <f t="shared" si="6"/>
        <v>86.74285714285699</v>
      </c>
      <c r="DH535" s="42"/>
      <c r="DI535" s="29" t="s">
        <v>246</v>
      </c>
      <c r="DL535" s="44"/>
      <c r="DM535" s="97"/>
    </row>
    <row r="536" spans="2:117" ht="15" customHeight="1">
      <c r="B536" s="34"/>
      <c r="CC536"/>
      <c r="CD536"/>
      <c r="CE536"/>
      <c r="CF536"/>
      <c r="CG536"/>
      <c r="CH536"/>
      <c r="CI536"/>
      <c r="CJ536"/>
      <c r="CK536"/>
      <c r="CL536"/>
      <c r="CM536"/>
      <c r="CN536"/>
      <c r="CO536"/>
      <c r="CP536" s="44"/>
      <c r="DA536" s="34"/>
      <c r="DB536" s="34"/>
      <c r="DC536" s="63">
        <f t="shared" si="5"/>
        <v>75</v>
      </c>
      <c r="DD536" s="63">
        <f t="shared" si="3"/>
        <v>87</v>
      </c>
      <c r="DE536" s="63">
        <f t="shared" si="4"/>
        <v>93</v>
      </c>
      <c r="DG536" s="64">
        <v>87</v>
      </c>
      <c r="DH536" s="42"/>
      <c r="DI536" s="29" t="s">
        <v>245</v>
      </c>
      <c r="DL536" s="44"/>
      <c r="DM536" s="97"/>
    </row>
    <row r="537" spans="2:117" ht="15" customHeight="1">
      <c r="B537" s="34"/>
      <c r="CC537"/>
      <c r="CD537"/>
      <c r="CE537"/>
      <c r="CF537"/>
      <c r="CG537"/>
      <c r="CH537"/>
      <c r="CI537"/>
      <c r="CJ537"/>
      <c r="CK537"/>
      <c r="CL537"/>
      <c r="CM537"/>
      <c r="CN537"/>
      <c r="CO537"/>
      <c r="CP537" s="44"/>
      <c r="DA537" s="34"/>
      <c r="DB537" s="34"/>
      <c r="DC537" s="44"/>
      <c r="DD537" s="44"/>
      <c r="DE537" s="44"/>
      <c r="DG537" s="53"/>
      <c r="DH537" s="42"/>
      <c r="DL537" s="44"/>
      <c r="DM537" s="97"/>
    </row>
    <row r="538" spans="2:117" ht="15" customHeight="1">
      <c r="B538" s="34"/>
      <c r="CC538"/>
      <c r="CD538"/>
      <c r="CE538"/>
      <c r="CF538"/>
      <c r="CG538"/>
      <c r="CH538"/>
      <c r="CI538"/>
      <c r="CJ538"/>
      <c r="CK538"/>
      <c r="CL538"/>
      <c r="CM538"/>
      <c r="CN538"/>
      <c r="CO538"/>
      <c r="CP538" s="44"/>
      <c r="DA538" s="34"/>
      <c r="DB538" s="34"/>
      <c r="DC538" s="44"/>
      <c r="DD538" s="44"/>
      <c r="DE538" s="44"/>
      <c r="DG538" s="53"/>
      <c r="DH538" s="42"/>
      <c r="DL538" s="44"/>
      <c r="DM538" s="97"/>
    </row>
    <row r="539" spans="2:117" ht="15" customHeight="1">
      <c r="B539" s="34"/>
      <c r="CC539"/>
      <c r="CD539"/>
      <c r="CE539"/>
      <c r="CF539"/>
      <c r="CG539"/>
      <c r="CH539"/>
      <c r="CI539"/>
      <c r="CJ539"/>
      <c r="CK539"/>
      <c r="CL539"/>
      <c r="CM539"/>
      <c r="CN539"/>
      <c r="CO539"/>
      <c r="CP539" s="44"/>
      <c r="DA539" s="34">
        <f>DA494+0.01</f>
        <v>5.089999999999999</v>
      </c>
      <c r="DB539" s="34"/>
      <c r="DC539" s="56" t="s">
        <v>247</v>
      </c>
      <c r="DD539" s="44"/>
      <c r="DE539" s="44"/>
      <c r="DG539" s="53"/>
      <c r="DH539" s="55">
        <f>VLOOKUP(DH490,DE542:DF544,2)</f>
        <v>67</v>
      </c>
      <c r="DL539" s="44"/>
      <c r="DM539" s="97"/>
    </row>
    <row r="540" spans="2:117" ht="15" customHeight="1">
      <c r="B540" s="34"/>
      <c r="CC540"/>
      <c r="CD540"/>
      <c r="CE540"/>
      <c r="CF540"/>
      <c r="CG540"/>
      <c r="CH540"/>
      <c r="CI540"/>
      <c r="CJ540"/>
      <c r="CK540"/>
      <c r="CL540"/>
      <c r="CM540"/>
      <c r="CN540"/>
      <c r="CO540"/>
      <c r="DA540" s="34"/>
      <c r="DB540" s="34"/>
      <c r="DC540" s="44"/>
      <c r="DD540" s="44"/>
      <c r="DE540" s="44"/>
      <c r="DF540" s="53"/>
      <c r="DG540" s="42"/>
      <c r="DH540" s="34"/>
      <c r="DL540" s="44"/>
      <c r="DM540" s="97"/>
    </row>
    <row r="541" spans="2:117" ht="15" customHeight="1">
      <c r="B541" s="34"/>
      <c r="CC541"/>
      <c r="CD541"/>
      <c r="CE541"/>
      <c r="CF541"/>
      <c r="CG541"/>
      <c r="CH541"/>
      <c r="CI541"/>
      <c r="CJ541"/>
      <c r="CK541"/>
      <c r="CL541"/>
      <c r="CM541"/>
      <c r="CN541"/>
      <c r="CO541"/>
      <c r="DA541" s="34"/>
      <c r="DB541" s="34"/>
      <c r="DC541" s="29" t="s">
        <v>248</v>
      </c>
      <c r="DE541" s="61" t="s">
        <v>249</v>
      </c>
      <c r="DF541" s="61" t="s">
        <v>250</v>
      </c>
      <c r="DG541" s="42"/>
      <c r="DH541" s="34"/>
      <c r="DJ541" s="61"/>
      <c r="DL541" s="44"/>
      <c r="DM541" s="334"/>
    </row>
    <row r="542" spans="2:117" ht="15" customHeight="1">
      <c r="B542" s="34"/>
      <c r="CC542"/>
      <c r="CD542"/>
      <c r="CE542"/>
      <c r="CF542"/>
      <c r="CG542"/>
      <c r="CH542"/>
      <c r="CI542"/>
      <c r="CJ542"/>
      <c r="CK542"/>
      <c r="CL542"/>
      <c r="CM542"/>
      <c r="CN542"/>
      <c r="CO542"/>
      <c r="DA542" s="34"/>
      <c r="DB542" s="34"/>
      <c r="DE542" s="58">
        <v>1900</v>
      </c>
      <c r="DF542" s="58">
        <v>65</v>
      </c>
      <c r="DG542" s="42"/>
      <c r="DH542" s="34"/>
      <c r="DJ542" s="58"/>
      <c r="DL542" s="44"/>
      <c r="DM542" s="97"/>
    </row>
    <row r="543" spans="2:117" ht="15" customHeight="1">
      <c r="B543" s="34"/>
      <c r="CC543"/>
      <c r="CD543"/>
      <c r="CE543"/>
      <c r="CF543"/>
      <c r="CG543"/>
      <c r="CH543"/>
      <c r="CI543"/>
      <c r="CJ543"/>
      <c r="CK543"/>
      <c r="CL543"/>
      <c r="CM543"/>
      <c r="CN543"/>
      <c r="CO543"/>
      <c r="DA543" s="34"/>
      <c r="DB543" s="34"/>
      <c r="DE543" s="58">
        <v>1943</v>
      </c>
      <c r="DF543" s="58">
        <v>66</v>
      </c>
      <c r="DG543" s="42"/>
      <c r="DH543" s="34"/>
      <c r="DJ543" s="58"/>
      <c r="DL543" s="44"/>
      <c r="DM543" s="97"/>
    </row>
    <row r="544" spans="2:117" ht="15" customHeight="1">
      <c r="B544" s="34"/>
      <c r="CC544"/>
      <c r="CD544"/>
      <c r="CE544"/>
      <c r="CF544"/>
      <c r="CG544"/>
      <c r="CH544"/>
      <c r="CI544"/>
      <c r="CJ544"/>
      <c r="CK544"/>
      <c r="CL544"/>
      <c r="CM544"/>
      <c r="CN544"/>
      <c r="CO544"/>
      <c r="DA544" s="34"/>
      <c r="DB544" s="34"/>
      <c r="DE544" s="58">
        <v>1960</v>
      </c>
      <c r="DF544" s="58">
        <v>67</v>
      </c>
      <c r="DG544" s="42"/>
      <c r="DH544" s="34"/>
      <c r="DJ544" s="58"/>
      <c r="DL544" s="44"/>
      <c r="DM544" s="97"/>
    </row>
    <row r="545" spans="2:117" ht="15" customHeight="1">
      <c r="B545" s="34"/>
      <c r="CC545"/>
      <c r="CD545"/>
      <c r="CE545"/>
      <c r="CF545"/>
      <c r="CG545"/>
      <c r="CH545"/>
      <c r="CI545"/>
      <c r="CJ545"/>
      <c r="CK545"/>
      <c r="CL545"/>
      <c r="CM545"/>
      <c r="CN545"/>
      <c r="CO545"/>
      <c r="DA545" s="34"/>
      <c r="DB545" s="34"/>
      <c r="DE545" s="58"/>
      <c r="DF545" s="58"/>
      <c r="DG545" s="42"/>
      <c r="DH545" s="34"/>
      <c r="DL545" s="44"/>
      <c r="DM545" s="97"/>
    </row>
    <row r="546" spans="2:117" ht="15" customHeight="1">
      <c r="B546" s="34"/>
      <c r="CC546"/>
      <c r="CD546"/>
      <c r="CE546"/>
      <c r="CF546"/>
      <c r="CG546"/>
      <c r="CH546"/>
      <c r="CI546"/>
      <c r="CJ546"/>
      <c r="CK546"/>
      <c r="CL546"/>
      <c r="CM546"/>
      <c r="CN546"/>
      <c r="CO546"/>
      <c r="DA546" s="34">
        <f>DA539+0.01</f>
        <v>5.099999999999999</v>
      </c>
      <c r="DB546" s="34"/>
      <c r="DC546" s="35" t="s">
        <v>251</v>
      </c>
      <c r="DE546" s="58"/>
      <c r="DF546" s="58"/>
      <c r="DG546" s="42"/>
      <c r="DH546" s="49">
        <f>MAX(DH481,62)</f>
        <v>65</v>
      </c>
      <c r="DL546" s="44"/>
      <c r="DM546" s="97"/>
    </row>
    <row r="547" spans="2:117" ht="15" customHeight="1">
      <c r="B547" s="34"/>
      <c r="CC547"/>
      <c r="CD547"/>
      <c r="CE547"/>
      <c r="CF547"/>
      <c r="CG547"/>
      <c r="CH547"/>
      <c r="CI547"/>
      <c r="CJ547"/>
      <c r="CK547"/>
      <c r="CL547"/>
      <c r="CM547"/>
      <c r="CN547"/>
      <c r="CO547"/>
      <c r="DA547" s="34"/>
      <c r="DB547" s="34"/>
      <c r="DC547" s="29" t="s">
        <v>252</v>
      </c>
      <c r="DE547" s="58"/>
      <c r="DF547" s="58"/>
      <c r="DG547" s="42"/>
      <c r="DH547" s="49"/>
      <c r="DL547" s="44"/>
      <c r="DM547" s="97"/>
    </row>
    <row r="548" spans="2:117" ht="15" customHeight="1">
      <c r="B548" s="34"/>
      <c r="CC548"/>
      <c r="CD548"/>
      <c r="CE548"/>
      <c r="CF548"/>
      <c r="CG548"/>
      <c r="CH548"/>
      <c r="CI548"/>
      <c r="CJ548"/>
      <c r="CK548"/>
      <c r="CL548"/>
      <c r="CM548"/>
      <c r="CN548"/>
      <c r="CO548"/>
      <c r="DA548" s="34"/>
      <c r="DB548" s="34"/>
      <c r="DC548" s="29" t="s">
        <v>253</v>
      </c>
      <c r="DE548" s="58"/>
      <c r="DF548" s="58"/>
      <c r="DG548" s="42"/>
      <c r="DH548" s="49"/>
      <c r="DL548" s="44"/>
      <c r="DM548" s="97"/>
    </row>
    <row r="549" spans="2:117" ht="15" customHeight="1">
      <c r="B549" s="34"/>
      <c r="CC549"/>
      <c r="CD549"/>
      <c r="CE549"/>
      <c r="CF549"/>
      <c r="CG549"/>
      <c r="CH549"/>
      <c r="CI549"/>
      <c r="CJ549"/>
      <c r="CK549"/>
      <c r="CL549"/>
      <c r="CM549"/>
      <c r="CN549"/>
      <c r="CO549"/>
      <c r="DA549" s="34"/>
      <c r="DB549" s="34"/>
      <c r="DC549" s="44"/>
      <c r="DD549" s="66"/>
      <c r="DE549" s="44"/>
      <c r="DF549" s="44"/>
      <c r="DG549" s="44"/>
      <c r="DH549" s="58"/>
      <c r="DI549" s="336" t="s">
        <v>298</v>
      </c>
      <c r="DJ549" s="44"/>
      <c r="DK549" s="44"/>
      <c r="DL549" s="44"/>
      <c r="DM549" s="44"/>
    </row>
    <row r="550" spans="2:117" ht="15" customHeight="1">
      <c r="B550" s="34"/>
      <c r="CC550"/>
      <c r="CD550"/>
      <c r="CE550"/>
      <c r="CF550"/>
      <c r="CG550"/>
      <c r="CH550"/>
      <c r="CI550"/>
      <c r="CJ550"/>
      <c r="CK550"/>
      <c r="CL550"/>
      <c r="CM550"/>
      <c r="CN550"/>
      <c r="CO550"/>
      <c r="DA550" s="67">
        <f>DA546+0.01</f>
        <v>5.1099999999999985</v>
      </c>
      <c r="DC550" s="32" t="s">
        <v>254</v>
      </c>
      <c r="DH550" s="34"/>
      <c r="DI550" s="58">
        <v>0</v>
      </c>
      <c r="DJ550" s="335">
        <v>1</v>
      </c>
      <c r="DL550" s="44"/>
      <c r="DM550" s="44"/>
    </row>
    <row r="551" spans="2:118" ht="15" customHeight="1">
      <c r="B551" s="34"/>
      <c r="CC551"/>
      <c r="CD551"/>
      <c r="CE551"/>
      <c r="CF551"/>
      <c r="CG551"/>
      <c r="CH551"/>
      <c r="CI551"/>
      <c r="CJ551"/>
      <c r="CK551"/>
      <c r="CL551"/>
      <c r="CM551"/>
      <c r="CN551"/>
      <c r="CO551"/>
      <c r="DA551" s="34"/>
      <c r="DB551" s="34"/>
      <c r="DC551" s="37" t="s">
        <v>255</v>
      </c>
      <c r="DD551" s="37"/>
      <c r="DH551" s="337">
        <f>VLOOKUP(MAX(0,DH539-DH546),sserdf,2)</f>
        <v>0.8666666666666667</v>
      </c>
      <c r="DI551" s="58">
        <v>1</v>
      </c>
      <c r="DJ551" s="335">
        <f>100%-(12*5/9/100)</f>
        <v>0.9333333333333333</v>
      </c>
      <c r="DL551" s="379"/>
      <c r="DM551" s="379"/>
      <c r="DN551" s="379"/>
    </row>
    <row r="552" spans="2:118" ht="15" customHeight="1">
      <c r="B552" s="34"/>
      <c r="CC552"/>
      <c r="CD552"/>
      <c r="CE552"/>
      <c r="CF552"/>
      <c r="CG552"/>
      <c r="CH552"/>
      <c r="CI552"/>
      <c r="CJ552"/>
      <c r="CK552"/>
      <c r="CL552"/>
      <c r="CM552"/>
      <c r="CN552"/>
      <c r="CO552"/>
      <c r="DA552" s="34"/>
      <c r="DB552" s="34"/>
      <c r="DC552" s="37"/>
      <c r="DD552" s="37"/>
      <c r="DH552" s="34"/>
      <c r="DI552" s="58">
        <v>2</v>
      </c>
      <c r="DJ552" s="335">
        <f>100%-(24*5/9/100)</f>
        <v>0.8666666666666667</v>
      </c>
      <c r="DL552" s="379"/>
      <c r="DM552" s="379"/>
      <c r="DN552" s="379"/>
    </row>
    <row r="553" spans="2:117" ht="15" customHeight="1">
      <c r="B553" s="34"/>
      <c r="CC553"/>
      <c r="CD553"/>
      <c r="CE553"/>
      <c r="CF553"/>
      <c r="CG553"/>
      <c r="CH553"/>
      <c r="CI553"/>
      <c r="CJ553"/>
      <c r="CK553"/>
      <c r="CL553"/>
      <c r="CM553"/>
      <c r="CN553"/>
      <c r="CO553"/>
      <c r="DA553" s="67">
        <f>DA550+0.01</f>
        <v>5.119999999999998</v>
      </c>
      <c r="DB553" s="34"/>
      <c r="DC553" s="68" t="s">
        <v>256</v>
      </c>
      <c r="DD553" s="37"/>
      <c r="DH553" s="34"/>
      <c r="DI553" s="58">
        <v>3</v>
      </c>
      <c r="DJ553" s="335">
        <f>100%-(36*5/9/100)</f>
        <v>0.8</v>
      </c>
      <c r="DL553" s="44"/>
      <c r="DM553" s="44"/>
    </row>
    <row r="554" spans="2:117" ht="15" customHeight="1">
      <c r="B554" s="34"/>
      <c r="CC554"/>
      <c r="CD554"/>
      <c r="CE554"/>
      <c r="CF554"/>
      <c r="CG554"/>
      <c r="CH554"/>
      <c r="CI554"/>
      <c r="CJ554"/>
      <c r="CK554"/>
      <c r="CL554"/>
      <c r="CM554"/>
      <c r="CN554"/>
      <c r="CO554"/>
      <c r="DA554" s="34"/>
      <c r="DB554" s="34"/>
      <c r="DC554" s="37"/>
      <c r="DD554" s="37"/>
      <c r="DH554" s="34"/>
      <c r="DI554" s="58">
        <v>4</v>
      </c>
      <c r="DJ554" s="335">
        <f>100%-(36*5/9/100)-(12*5/12/100)</f>
        <v>0.75</v>
      </c>
      <c r="DL554" s="44"/>
      <c r="DM554" s="44"/>
    </row>
    <row r="555" spans="2:117" ht="15" customHeight="1">
      <c r="B555" s="34"/>
      <c r="CC555"/>
      <c r="CD555"/>
      <c r="CE555"/>
      <c r="CF555"/>
      <c r="CG555"/>
      <c r="CH555"/>
      <c r="CI555"/>
      <c r="CJ555"/>
      <c r="CK555"/>
      <c r="CL555"/>
      <c r="CM555"/>
      <c r="CN555"/>
      <c r="CO555"/>
      <c r="DA555" s="34"/>
      <c r="DB555" s="34"/>
      <c r="DC555" s="69" t="s">
        <v>249</v>
      </c>
      <c r="DD555" s="69" t="s">
        <v>257</v>
      </c>
      <c r="DH555" s="34"/>
      <c r="DI555" s="58">
        <v>5</v>
      </c>
      <c r="DJ555" s="335">
        <f>100%-(36*5/9/100)-(24*5/12/100)</f>
        <v>0.7000000000000001</v>
      </c>
      <c r="DL555" s="44"/>
      <c r="DM555" s="44"/>
    </row>
    <row r="556" spans="2:117" ht="15" customHeight="1">
      <c r="B556" s="34"/>
      <c r="CC556"/>
      <c r="CD556"/>
      <c r="CE556"/>
      <c r="CF556"/>
      <c r="CG556"/>
      <c r="CH556"/>
      <c r="CI556"/>
      <c r="CJ556"/>
      <c r="CK556"/>
      <c r="CL556"/>
      <c r="CM556"/>
      <c r="CN556"/>
      <c r="CO556"/>
      <c r="DA556" s="34"/>
      <c r="DB556" s="34"/>
      <c r="DC556" s="55">
        <v>1917</v>
      </c>
      <c r="DD556" s="52">
        <v>0.03</v>
      </c>
      <c r="DH556" s="34"/>
      <c r="DI556" s="44"/>
      <c r="DJ556" s="44"/>
      <c r="DL556" s="44"/>
      <c r="DM556" s="44"/>
    </row>
    <row r="557" spans="2:117" ht="15" customHeight="1">
      <c r="B557" s="34"/>
      <c r="CC557"/>
      <c r="CD557"/>
      <c r="CE557"/>
      <c r="CF557"/>
      <c r="CG557"/>
      <c r="CH557"/>
      <c r="CI557"/>
      <c r="CJ557"/>
      <c r="CK557"/>
      <c r="CL557"/>
      <c r="CM557"/>
      <c r="CN557"/>
      <c r="CO557"/>
      <c r="DA557" s="34"/>
      <c r="DB557" s="34"/>
      <c r="DC557" s="55">
        <v>1925</v>
      </c>
      <c r="DD557" s="52">
        <f aca="true" t="shared" si="7" ref="DD557:DD566">DD556+0.005</f>
        <v>0.034999999999999996</v>
      </c>
      <c r="DH557" s="34"/>
      <c r="DJ557" s="44"/>
      <c r="DK557" s="44"/>
      <c r="DL557" s="44"/>
      <c r="DM557" s="44"/>
    </row>
    <row r="558" spans="2:117" ht="15" customHeight="1">
      <c r="B558" s="34"/>
      <c r="CC558"/>
      <c r="CD558"/>
      <c r="CE558"/>
      <c r="CF558"/>
      <c r="CG558"/>
      <c r="CH558"/>
      <c r="CI558"/>
      <c r="CJ558"/>
      <c r="CK558"/>
      <c r="CL558"/>
      <c r="CM558"/>
      <c r="CN558"/>
      <c r="CO558"/>
      <c r="DA558" s="34"/>
      <c r="DB558" s="34"/>
      <c r="DC558" s="55">
        <v>1927</v>
      </c>
      <c r="DD558" s="52">
        <f t="shared" si="7"/>
        <v>0.039999999999999994</v>
      </c>
      <c r="DH558" s="34"/>
      <c r="DJ558" s="44"/>
      <c r="DK558" s="44"/>
      <c r="DL558" s="44"/>
      <c r="DM558" s="44"/>
    </row>
    <row r="559" spans="2:117" ht="15" customHeight="1">
      <c r="B559" s="34"/>
      <c r="CC559"/>
      <c r="CD559"/>
      <c r="CE559"/>
      <c r="CF559"/>
      <c r="CG559"/>
      <c r="CH559"/>
      <c r="CI559"/>
      <c r="CJ559"/>
      <c r="CK559"/>
      <c r="CL559"/>
      <c r="CM559"/>
      <c r="CN559"/>
      <c r="CO559"/>
      <c r="DA559" s="34"/>
      <c r="DB559" s="34"/>
      <c r="DC559" s="55">
        <v>1929</v>
      </c>
      <c r="DD559" s="52">
        <f t="shared" si="7"/>
        <v>0.04499999999999999</v>
      </c>
      <c r="DH559" s="34"/>
      <c r="DJ559" s="44"/>
      <c r="DK559" s="44"/>
      <c r="DL559" s="44"/>
      <c r="DM559" s="44"/>
    </row>
    <row r="560" spans="2:117" ht="15" customHeight="1">
      <c r="B560" s="34"/>
      <c r="CC560"/>
      <c r="CD560"/>
      <c r="CE560"/>
      <c r="CF560"/>
      <c r="CG560"/>
      <c r="CH560"/>
      <c r="CI560"/>
      <c r="CJ560"/>
      <c r="CK560"/>
      <c r="CL560"/>
      <c r="CM560"/>
      <c r="CN560"/>
      <c r="CO560"/>
      <c r="DA560" s="34"/>
      <c r="DB560" s="34"/>
      <c r="DC560" s="55">
        <v>1931</v>
      </c>
      <c r="DD560" s="52">
        <f t="shared" si="7"/>
        <v>0.04999999999999999</v>
      </c>
      <c r="DH560" s="34"/>
      <c r="DJ560" s="44"/>
      <c r="DK560" s="44"/>
      <c r="DL560" s="44"/>
      <c r="DM560" s="44"/>
    </row>
    <row r="561" spans="2:117" ht="15" customHeight="1">
      <c r="B561" s="34"/>
      <c r="CC561"/>
      <c r="CD561"/>
      <c r="CE561"/>
      <c r="CF561"/>
      <c r="CG561"/>
      <c r="CH561"/>
      <c r="CI561"/>
      <c r="CJ561"/>
      <c r="CK561"/>
      <c r="CL561"/>
      <c r="CM561"/>
      <c r="CN561"/>
      <c r="CO561"/>
      <c r="DA561" s="34"/>
      <c r="DB561" s="34"/>
      <c r="DC561" s="55">
        <v>1933</v>
      </c>
      <c r="DD561" s="52">
        <f t="shared" si="7"/>
        <v>0.054999999999999986</v>
      </c>
      <c r="DH561" s="34"/>
      <c r="DJ561" s="44"/>
      <c r="DK561" s="44"/>
      <c r="DL561" s="44"/>
      <c r="DM561" s="44"/>
    </row>
    <row r="562" spans="2:117" ht="15" customHeight="1">
      <c r="B562" s="34"/>
      <c r="CC562"/>
      <c r="CD562"/>
      <c r="CE562"/>
      <c r="CF562"/>
      <c r="CG562"/>
      <c r="CH562"/>
      <c r="CI562"/>
      <c r="CJ562"/>
      <c r="CK562"/>
      <c r="CL562"/>
      <c r="CM562"/>
      <c r="CN562"/>
      <c r="CO562"/>
      <c r="DA562" s="34"/>
      <c r="DB562" s="34"/>
      <c r="DC562" s="55">
        <v>1935</v>
      </c>
      <c r="DD562" s="52">
        <f t="shared" si="7"/>
        <v>0.059999999999999984</v>
      </c>
      <c r="DH562" s="34"/>
      <c r="DJ562" s="44"/>
      <c r="DK562" s="44"/>
      <c r="DL562" s="44"/>
      <c r="DM562" s="44"/>
    </row>
    <row r="563" spans="2:117" ht="15" customHeight="1">
      <c r="B563" s="34"/>
      <c r="CC563"/>
      <c r="CD563"/>
      <c r="CE563"/>
      <c r="CF563"/>
      <c r="CG563"/>
      <c r="CH563"/>
      <c r="CI563"/>
      <c r="CJ563"/>
      <c r="CK563"/>
      <c r="CL563"/>
      <c r="CM563"/>
      <c r="CN563"/>
      <c r="CO563"/>
      <c r="DA563" s="34"/>
      <c r="DB563" s="34"/>
      <c r="DC563" s="63">
        <v>1937</v>
      </c>
      <c r="DD563" s="52">
        <f t="shared" si="7"/>
        <v>0.06499999999999999</v>
      </c>
      <c r="DE563" s="44"/>
      <c r="DF563" s="44"/>
      <c r="DG563" s="44"/>
      <c r="DH563" s="58"/>
      <c r="DI563" s="44"/>
      <c r="DJ563" s="44"/>
      <c r="DK563" s="44"/>
      <c r="DL563" s="44"/>
      <c r="DM563" s="44"/>
    </row>
    <row r="564" spans="2:117" ht="15" customHeight="1">
      <c r="B564" s="34"/>
      <c r="CC564"/>
      <c r="CD564"/>
      <c r="CE564"/>
      <c r="CF564"/>
      <c r="CG564"/>
      <c r="CH564"/>
      <c r="CI564"/>
      <c r="CJ564"/>
      <c r="CK564"/>
      <c r="CL564"/>
      <c r="CM564"/>
      <c r="CN564"/>
      <c r="CO564"/>
      <c r="DA564" s="34"/>
      <c r="DB564" s="34"/>
      <c r="DC564" s="63">
        <v>1939</v>
      </c>
      <c r="DD564" s="52">
        <f t="shared" si="7"/>
        <v>0.06999999999999999</v>
      </c>
      <c r="DE564" s="44"/>
      <c r="DF564" s="44"/>
      <c r="DG564" s="44"/>
      <c r="DH564" s="58"/>
      <c r="DI564" s="44"/>
      <c r="DJ564" s="44"/>
      <c r="DK564" s="44"/>
      <c r="DL564" s="44"/>
      <c r="DM564" s="44"/>
    </row>
    <row r="565" spans="2:117" ht="15" customHeight="1">
      <c r="B565" s="34"/>
      <c r="CC565"/>
      <c r="CD565"/>
      <c r="CE565"/>
      <c r="CF565"/>
      <c r="CG565"/>
      <c r="CH565"/>
      <c r="CI565"/>
      <c r="CJ565"/>
      <c r="CK565"/>
      <c r="CL565"/>
      <c r="CM565"/>
      <c r="CN565"/>
      <c r="CO565"/>
      <c r="DA565" s="34"/>
      <c r="DB565" s="34"/>
      <c r="DC565" s="63">
        <v>1941</v>
      </c>
      <c r="DD565" s="52">
        <f t="shared" si="7"/>
        <v>0.075</v>
      </c>
      <c r="DE565" s="44"/>
      <c r="DF565" s="44"/>
      <c r="DG565" s="44"/>
      <c r="DH565" s="58"/>
      <c r="DI565" s="44"/>
      <c r="DJ565" s="44"/>
      <c r="DK565" s="44"/>
      <c r="DL565" s="44"/>
      <c r="DM565" s="44"/>
    </row>
    <row r="566" spans="2:117" ht="15" customHeight="1">
      <c r="B566" s="34"/>
      <c r="CC566"/>
      <c r="CD566"/>
      <c r="CE566"/>
      <c r="CF566"/>
      <c r="CG566"/>
      <c r="CH566"/>
      <c r="CI566"/>
      <c r="CJ566"/>
      <c r="CK566"/>
      <c r="CL566"/>
      <c r="CM566"/>
      <c r="CN566"/>
      <c r="CO566"/>
      <c r="DA566" s="34"/>
      <c r="DB566" s="34"/>
      <c r="DC566" s="63">
        <v>1943</v>
      </c>
      <c r="DD566" s="52">
        <f t="shared" si="7"/>
        <v>0.08</v>
      </c>
      <c r="DE566" s="44"/>
      <c r="DF566" s="44"/>
      <c r="DG566" s="44"/>
      <c r="DH566" s="58"/>
      <c r="DI566" s="44"/>
      <c r="DJ566" s="44"/>
      <c r="DK566" s="44"/>
      <c r="DL566" s="44"/>
      <c r="DM566" s="44"/>
    </row>
    <row r="567" spans="2:117" ht="15" customHeight="1">
      <c r="B567" s="34"/>
      <c r="CC567"/>
      <c r="CD567"/>
      <c r="CE567"/>
      <c r="CF567"/>
      <c r="CG567"/>
      <c r="CH567"/>
      <c r="CI567"/>
      <c r="CJ567"/>
      <c r="CK567"/>
      <c r="CL567"/>
      <c r="CM567"/>
      <c r="CN567"/>
      <c r="CO567"/>
      <c r="DA567" s="34"/>
      <c r="DB567" s="34"/>
      <c r="DC567" s="63"/>
      <c r="DD567" s="52"/>
      <c r="DE567" s="44"/>
      <c r="DF567" s="44"/>
      <c r="DG567" s="44"/>
      <c r="DH567" s="58"/>
      <c r="DI567" s="44"/>
      <c r="DJ567" s="44"/>
      <c r="DK567" s="44"/>
      <c r="DL567" s="44"/>
      <c r="DM567" s="44"/>
    </row>
    <row r="568" spans="2:117" ht="15" customHeight="1">
      <c r="B568" s="34"/>
      <c r="CC568"/>
      <c r="CD568"/>
      <c r="CE568"/>
      <c r="CF568"/>
      <c r="CG568"/>
      <c r="CH568"/>
      <c r="CI568"/>
      <c r="CJ568"/>
      <c r="CK568"/>
      <c r="CL568"/>
      <c r="CM568"/>
      <c r="CN568"/>
      <c r="CO568"/>
      <c r="DA568" s="34"/>
      <c r="DB568" s="34"/>
      <c r="DC568" s="70" t="s">
        <v>258</v>
      </c>
      <c r="DD568" s="52"/>
      <c r="DE568" s="44"/>
      <c r="DF568" s="44"/>
      <c r="DH568" s="71">
        <f>1+(VLOOKUP(DH490,DC556:DD566,2)*MIN(5,MAX(DH481-DH539,0)))</f>
        <v>1</v>
      </c>
      <c r="DI568" s="44"/>
      <c r="DJ568" s="44"/>
      <c r="DK568" s="44"/>
      <c r="DL568" s="44"/>
      <c r="DM568" s="44"/>
    </row>
    <row r="569" spans="2:117" ht="15" customHeight="1">
      <c r="B569" s="34"/>
      <c r="CC569"/>
      <c r="CD569"/>
      <c r="CE569"/>
      <c r="CF569"/>
      <c r="CG569"/>
      <c r="CH569"/>
      <c r="CI569"/>
      <c r="CJ569"/>
      <c r="CK569"/>
      <c r="CL569"/>
      <c r="CM569"/>
      <c r="CN569"/>
      <c r="CO569"/>
      <c r="DA569" s="34"/>
      <c r="DB569" s="34"/>
      <c r="DC569" s="72"/>
      <c r="DD569" s="66"/>
      <c r="DE569" s="44"/>
      <c r="DF569" s="44"/>
      <c r="DG569" s="44"/>
      <c r="DH569" s="44"/>
      <c r="DI569" s="44"/>
      <c r="DJ569" s="44"/>
      <c r="DK569" s="44"/>
      <c r="DL569" s="44"/>
      <c r="DM569" s="44"/>
    </row>
    <row r="570" spans="2:117" ht="15" customHeight="1">
      <c r="B570" s="34"/>
      <c r="CC570"/>
      <c r="CD570"/>
      <c r="CE570"/>
      <c r="CF570"/>
      <c r="CG570"/>
      <c r="CH570"/>
      <c r="CI570"/>
      <c r="CJ570"/>
      <c r="CK570"/>
      <c r="CL570"/>
      <c r="CM570"/>
      <c r="CN570"/>
      <c r="CO570"/>
      <c r="DA570" s="67">
        <f>DA553+0.01</f>
        <v>5.129999999999998</v>
      </c>
      <c r="DB570" s="34"/>
      <c r="DC570" s="56" t="s">
        <v>259</v>
      </c>
      <c r="DD570" s="66"/>
      <c r="DE570" s="44"/>
      <c r="DF570" s="44"/>
      <c r="DG570" s="44"/>
      <c r="DH570" s="44"/>
      <c r="DI570" s="44"/>
      <c r="DJ570" s="44"/>
      <c r="DK570" s="44"/>
      <c r="DL570" s="44"/>
      <c r="DM570" s="44"/>
    </row>
    <row r="571" spans="2:117" ht="15" customHeight="1">
      <c r="B571" s="34"/>
      <c r="CC571"/>
      <c r="CD571"/>
      <c r="CE571"/>
      <c r="CF571"/>
      <c r="CG571"/>
      <c r="CH571"/>
      <c r="CI571"/>
      <c r="CJ571"/>
      <c r="CK571"/>
      <c r="CL571"/>
      <c r="CM571"/>
      <c r="CN571"/>
      <c r="CO571"/>
      <c r="DA571" s="34"/>
      <c r="DB571" s="34"/>
      <c r="DC571" s="44"/>
      <c r="DD571" s="66"/>
      <c r="DE571" s="44"/>
      <c r="DF571" s="44"/>
      <c r="DG571" s="44"/>
      <c r="DH571" s="44"/>
      <c r="DI571" s="44"/>
      <c r="DJ571" s="44"/>
      <c r="DK571" s="44"/>
      <c r="DL571" s="44"/>
      <c r="DM571" s="44"/>
    </row>
    <row r="572" spans="2:117" ht="15" customHeight="1">
      <c r="B572" s="34"/>
      <c r="CC572"/>
      <c r="CD572"/>
      <c r="CE572"/>
      <c r="CF572"/>
      <c r="CG572"/>
      <c r="CH572"/>
      <c r="CI572"/>
      <c r="CJ572"/>
      <c r="CK572"/>
      <c r="CL572"/>
      <c r="CM572"/>
      <c r="CN572"/>
      <c r="CO572"/>
      <c r="DA572" s="34"/>
      <c r="DB572" s="34"/>
      <c r="DC572" s="44" t="s">
        <v>260</v>
      </c>
      <c r="DD572" s="66"/>
      <c r="DE572" s="44"/>
      <c r="DF572" s="66"/>
      <c r="DG572" s="44"/>
      <c r="DH572" s="44"/>
      <c r="DI572" s="44"/>
      <c r="DJ572" s="44"/>
      <c r="DK572" s="44"/>
      <c r="DL572" s="44"/>
      <c r="DM572" s="44"/>
    </row>
    <row r="573" spans="2:117" ht="15" customHeight="1">
      <c r="B573" s="34"/>
      <c r="CC573"/>
      <c r="CD573"/>
      <c r="CE573"/>
      <c r="CF573"/>
      <c r="CG573"/>
      <c r="CH573"/>
      <c r="CI573"/>
      <c r="CJ573"/>
      <c r="CK573"/>
      <c r="CL573"/>
      <c r="CM573"/>
      <c r="CN573"/>
      <c r="CO573"/>
      <c r="DA573" s="34"/>
      <c r="DB573" s="34">
        <v>1</v>
      </c>
      <c r="DE573" s="44"/>
      <c r="DF573" s="66" t="s">
        <v>261</v>
      </c>
      <c r="DG573" s="44"/>
      <c r="DH573" s="66">
        <f>IF(DH477&lt;1000,0,VLOOKUP(DH477,DC420:DE472,2))</f>
        <v>14251.68</v>
      </c>
      <c r="DI573" s="44"/>
      <c r="DJ573" s="44"/>
      <c r="DK573" s="44"/>
      <c r="DL573" s="44"/>
      <c r="DM573" s="44"/>
    </row>
    <row r="574" spans="2:117" ht="15" customHeight="1">
      <c r="B574" s="34"/>
      <c r="CC574"/>
      <c r="CD574"/>
      <c r="CE574"/>
      <c r="CF574"/>
      <c r="CG574"/>
      <c r="CH574"/>
      <c r="CI574"/>
      <c r="CJ574"/>
      <c r="CK574"/>
      <c r="CL574"/>
      <c r="CM574"/>
      <c r="CN574"/>
      <c r="CO574"/>
      <c r="DA574" s="34"/>
      <c r="DB574" s="34">
        <v>2</v>
      </c>
      <c r="DE574" s="44"/>
      <c r="DF574" s="66" t="s">
        <v>262</v>
      </c>
      <c r="DG574" s="44"/>
      <c r="DH574" s="66">
        <f>IF(DH478&lt;1000,0,VLOOKUP(DH478,DC420:DE472,2))</f>
        <v>9055.2</v>
      </c>
      <c r="DI574" s="44"/>
      <c r="DJ574" s="44"/>
      <c r="DK574" s="44"/>
      <c r="DL574" s="44"/>
      <c r="DM574" s="44"/>
    </row>
    <row r="575" spans="2:117" ht="15" customHeight="1">
      <c r="B575" s="34"/>
      <c r="CC575"/>
      <c r="CD575"/>
      <c r="CE575"/>
      <c r="CF575"/>
      <c r="CG575"/>
      <c r="CH575"/>
      <c r="CI575"/>
      <c r="CJ575"/>
      <c r="CK575"/>
      <c r="CL575"/>
      <c r="CM575"/>
      <c r="CN575"/>
      <c r="CO575"/>
      <c r="DA575" s="34"/>
      <c r="DB575" s="34">
        <v>3</v>
      </c>
      <c r="DE575" s="44"/>
      <c r="DF575" s="66" t="s">
        <v>143</v>
      </c>
      <c r="DG575" s="44"/>
      <c r="DH575" s="66">
        <f>DH573+DH574</f>
        <v>23306.88</v>
      </c>
      <c r="DI575" s="44"/>
      <c r="DJ575" s="44"/>
      <c r="DK575" s="44"/>
      <c r="DL575" s="44"/>
      <c r="DM575" s="44"/>
    </row>
    <row r="576" spans="2:117" ht="15" customHeight="1">
      <c r="B576" s="34"/>
      <c r="CC576"/>
      <c r="CD576"/>
      <c r="CE576"/>
      <c r="CF576"/>
      <c r="CG576"/>
      <c r="CH576"/>
      <c r="CI576"/>
      <c r="CJ576"/>
      <c r="CK576"/>
      <c r="CL576"/>
      <c r="CM576"/>
      <c r="CN576"/>
      <c r="CO576"/>
      <c r="DA576" s="34"/>
      <c r="DB576" s="34">
        <v>4</v>
      </c>
      <c r="DE576" s="44" t="s">
        <v>263</v>
      </c>
      <c r="DF576" s="66"/>
      <c r="DG576" s="44"/>
      <c r="DH576" s="66">
        <f>MAX(DH573,DH574)</f>
        <v>14251.68</v>
      </c>
      <c r="DI576" s="44"/>
      <c r="DJ576" s="44"/>
      <c r="DK576" s="44"/>
      <c r="DL576" s="44"/>
      <c r="DM576" s="44"/>
    </row>
    <row r="577" spans="2:117" ht="15" customHeight="1">
      <c r="B577" s="34"/>
      <c r="CC577"/>
      <c r="CD577"/>
      <c r="CE577"/>
      <c r="CF577"/>
      <c r="CG577"/>
      <c r="CH577"/>
      <c r="CI577"/>
      <c r="CJ577"/>
      <c r="CK577"/>
      <c r="CL577"/>
      <c r="CM577"/>
      <c r="CN577"/>
      <c r="CO577"/>
      <c r="DA577" s="34"/>
      <c r="DB577" s="34">
        <v>5</v>
      </c>
      <c r="DE577" s="44" t="s">
        <v>264</v>
      </c>
      <c r="DF577" s="66"/>
      <c r="DG577" s="44"/>
      <c r="DH577" s="66">
        <f>IF(maritalstatus=2,1.5*DH576,0)</f>
        <v>21377.52</v>
      </c>
      <c r="DI577" s="44"/>
      <c r="DJ577" s="44"/>
      <c r="DK577" s="44"/>
      <c r="DL577" s="44"/>
      <c r="DM577" s="44"/>
    </row>
    <row r="578" spans="2:117" ht="15" customHeight="1">
      <c r="B578" s="34"/>
      <c r="CC578"/>
      <c r="CD578"/>
      <c r="CE578"/>
      <c r="CF578"/>
      <c r="CG578"/>
      <c r="CH578"/>
      <c r="CI578"/>
      <c r="CJ578"/>
      <c r="CK578"/>
      <c r="CL578"/>
      <c r="CM578"/>
      <c r="CN578"/>
      <c r="CO578"/>
      <c r="DA578" s="34"/>
      <c r="DB578" s="34">
        <v>6</v>
      </c>
      <c r="DE578" s="44" t="s">
        <v>265</v>
      </c>
      <c r="DF578" s="66"/>
      <c r="DG578" s="44"/>
      <c r="DH578" s="66">
        <f>MAX(DH575,DH577)</f>
        <v>23306.88</v>
      </c>
      <c r="DI578" s="73"/>
      <c r="DJ578" s="44"/>
      <c r="DK578" s="44"/>
      <c r="DL578" s="44"/>
      <c r="DM578" s="44"/>
    </row>
    <row r="579" spans="2:117" ht="15" customHeight="1">
      <c r="B579" s="34"/>
      <c r="CC579"/>
      <c r="CD579"/>
      <c r="CE579"/>
      <c r="CF579"/>
      <c r="CG579"/>
      <c r="CH579"/>
      <c r="CI579"/>
      <c r="CJ579"/>
      <c r="CK579"/>
      <c r="CL579"/>
      <c r="CM579"/>
      <c r="CN579"/>
      <c r="CO579"/>
      <c r="DA579" s="34"/>
      <c r="DB579" s="34">
        <v>7</v>
      </c>
      <c r="DE579" s="44" t="s">
        <v>266</v>
      </c>
      <c r="DF579" s="66"/>
      <c r="DG579" s="44"/>
      <c r="DH579" s="74">
        <f>DH551</f>
        <v>0.8666666666666667</v>
      </c>
      <c r="DI579" s="75"/>
      <c r="DJ579" s="44" t="s">
        <v>267</v>
      </c>
      <c r="DK579" s="44"/>
      <c r="DL579" s="44"/>
      <c r="DM579" s="44"/>
    </row>
    <row r="580" spans="2:117" ht="15" customHeight="1">
      <c r="B580" s="34"/>
      <c r="CC580"/>
      <c r="CD580"/>
      <c r="CE580"/>
      <c r="CF580"/>
      <c r="CG580"/>
      <c r="CH580"/>
      <c r="CI580"/>
      <c r="CJ580"/>
      <c r="CK580"/>
      <c r="CL580"/>
      <c r="CM580"/>
      <c r="CN580"/>
      <c r="CO580"/>
      <c r="DA580" s="34"/>
      <c r="DB580" s="34">
        <v>8</v>
      </c>
      <c r="DE580" s="44" t="s">
        <v>268</v>
      </c>
      <c r="DF580" s="66"/>
      <c r="DG580" s="44"/>
      <c r="DH580" s="76">
        <f>DH568</f>
        <v>1</v>
      </c>
      <c r="DI580" s="77"/>
      <c r="DJ580" s="78">
        <f>DH579*DH580</f>
        <v>0.8666666666666667</v>
      </c>
      <c r="DK580" s="44"/>
      <c r="DL580" s="44"/>
      <c r="DM580" s="44"/>
    </row>
    <row r="581" spans="2:117" ht="15" customHeight="1">
      <c r="B581" s="34"/>
      <c r="CC581"/>
      <c r="CD581"/>
      <c r="CE581"/>
      <c r="CF581"/>
      <c r="CG581"/>
      <c r="CH581"/>
      <c r="CI581"/>
      <c r="CJ581"/>
      <c r="CK581"/>
      <c r="CL581"/>
      <c r="CM581"/>
      <c r="CN581"/>
      <c r="CO581"/>
      <c r="DA581" s="34"/>
      <c r="DB581" s="34">
        <v>9</v>
      </c>
      <c r="DE581" s="79" t="s">
        <v>269</v>
      </c>
      <c r="DF581" s="66"/>
      <c r="DG581" s="44"/>
      <c r="DH581" s="304">
        <f>(1+DH487)^(yrsuntilret+DH546-DH481)</f>
        <v>2.8067937047026272</v>
      </c>
      <c r="DI581" s="44"/>
      <c r="DJ581" s="44"/>
      <c r="DK581" s="44"/>
      <c r="DL581" s="44"/>
      <c r="DM581" s="44"/>
    </row>
    <row r="582" spans="2:117" ht="15" customHeight="1">
      <c r="B582" s="34"/>
      <c r="CC582"/>
      <c r="CD582"/>
      <c r="CE582"/>
      <c r="CF582"/>
      <c r="CG582"/>
      <c r="CH582"/>
      <c r="CI582"/>
      <c r="CJ582"/>
      <c r="CK582"/>
      <c r="CL582"/>
      <c r="CM582"/>
      <c r="CN582"/>
      <c r="CO582"/>
      <c r="DA582" s="34"/>
      <c r="DB582" s="34">
        <v>10</v>
      </c>
      <c r="DE582" s="44" t="s">
        <v>270</v>
      </c>
      <c r="DF582" s="66"/>
      <c r="DG582" s="44"/>
      <c r="DH582" s="80">
        <f>DH578*DH579*DH580*DH581</f>
        <v>56695.256852224964</v>
      </c>
      <c r="DI582" s="44"/>
      <c r="DJ582" s="44"/>
      <c r="DK582" s="44"/>
      <c r="DL582" s="44"/>
      <c r="DM582" s="44"/>
    </row>
    <row r="583" spans="2:117" ht="15" customHeight="1">
      <c r="B583" s="34"/>
      <c r="CC583"/>
      <c r="CD583"/>
      <c r="CE583"/>
      <c r="CF583"/>
      <c r="CG583"/>
      <c r="CH583"/>
      <c r="CI583"/>
      <c r="CJ583"/>
      <c r="CK583"/>
      <c r="CL583"/>
      <c r="CM583"/>
      <c r="CN583"/>
      <c r="CO583"/>
      <c r="DA583" s="34"/>
      <c r="DB583" s="34"/>
      <c r="DC583" s="44"/>
      <c r="DD583" s="66"/>
      <c r="DE583" s="44"/>
      <c r="DF583" s="44"/>
      <c r="DG583" s="44"/>
      <c r="DH583" s="44"/>
      <c r="DI583" s="44"/>
      <c r="DJ583" s="44"/>
      <c r="DK583" s="44"/>
      <c r="DL583" s="44"/>
      <c r="DM583" s="44"/>
    </row>
    <row r="584" spans="2:117" ht="15" customHeight="1">
      <c r="B584" s="34"/>
      <c r="CC584"/>
      <c r="CD584"/>
      <c r="CE584"/>
      <c r="CF584"/>
      <c r="CG584"/>
      <c r="CH584"/>
      <c r="CI584"/>
      <c r="CJ584"/>
      <c r="CK584"/>
      <c r="CL584"/>
      <c r="CM584"/>
      <c r="CN584"/>
      <c r="CO584"/>
      <c r="DA584" s="67">
        <f>DA570+0.01</f>
        <v>5.139999999999998</v>
      </c>
      <c r="DB584" s="34"/>
      <c r="DC584" s="56" t="s">
        <v>271</v>
      </c>
      <c r="DD584" s="66"/>
      <c r="DE584" s="44"/>
      <c r="DF584" s="44"/>
      <c r="DG584" s="44"/>
      <c r="DH584" s="81">
        <f>DH582</f>
        <v>56695.256852224964</v>
      </c>
      <c r="DI584" s="79" t="s">
        <v>272</v>
      </c>
      <c r="DJ584" s="44"/>
      <c r="DK584" s="44"/>
      <c r="DL584" s="44"/>
      <c r="DM584" s="44"/>
    </row>
    <row r="585" spans="2:117" ht="15" customHeight="1">
      <c r="B585" s="34"/>
      <c r="CC585"/>
      <c r="CD585"/>
      <c r="CE585"/>
      <c r="CF585"/>
      <c r="CG585"/>
      <c r="CH585"/>
      <c r="CI585"/>
      <c r="CJ585"/>
      <c r="CK585"/>
      <c r="CL585"/>
      <c r="CM585"/>
      <c r="CN585"/>
      <c r="CO585"/>
      <c r="DA585" s="67"/>
      <c r="DB585" s="34"/>
      <c r="DC585" s="56"/>
      <c r="DD585" s="66"/>
      <c r="DE585" s="44"/>
      <c r="DF585" s="44"/>
      <c r="DG585" s="44"/>
      <c r="DH585" s="66"/>
      <c r="DI585" s="44"/>
      <c r="DJ585" s="44"/>
      <c r="DK585" s="44"/>
      <c r="DL585" s="44"/>
      <c r="DM585" s="44"/>
    </row>
    <row r="586" spans="2:117" ht="15" customHeight="1">
      <c r="B586" s="34"/>
      <c r="CC586"/>
      <c r="CD586"/>
      <c r="CE586"/>
      <c r="CF586"/>
      <c r="CG586"/>
      <c r="CH586"/>
      <c r="CI586"/>
      <c r="CJ586"/>
      <c r="CK586"/>
      <c r="CL586"/>
      <c r="CM586"/>
      <c r="CN586"/>
      <c r="CO586"/>
      <c r="DA586" s="67"/>
      <c r="DB586" s="34"/>
      <c r="DC586" s="82" t="s">
        <v>273</v>
      </c>
      <c r="DD586" s="66"/>
      <c r="DE586" s="44"/>
      <c r="DF586" s="44"/>
      <c r="DG586" s="44"/>
      <c r="DH586" s="349">
        <f>(1+inflation)/(1+DH486)</f>
        <v>0.9857142857142855</v>
      </c>
      <c r="DI586" s="44"/>
      <c r="DJ586" s="44"/>
      <c r="DK586" s="44"/>
      <c r="DL586" s="44"/>
      <c r="DM586" s="44"/>
    </row>
    <row r="587" spans="2:117" ht="15" customHeight="1">
      <c r="B587" s="34"/>
      <c r="CC587"/>
      <c r="CD587"/>
      <c r="CE587"/>
      <c r="CF587"/>
      <c r="CG587"/>
      <c r="CH587"/>
      <c r="CI587"/>
      <c r="CJ587"/>
      <c r="CK587"/>
      <c r="CL587"/>
      <c r="CM587"/>
      <c r="CN587"/>
      <c r="CO587"/>
      <c r="DA587" s="67"/>
      <c r="DB587" s="34"/>
      <c r="DC587" s="82" t="s">
        <v>274</v>
      </c>
      <c r="DD587" s="66"/>
      <c r="DE587" s="44"/>
      <c r="DF587" s="44"/>
      <c r="DG587" s="44"/>
      <c r="DH587" s="66">
        <f>DH482-(DH546-retage)</f>
        <v>25</v>
      </c>
      <c r="DI587" s="44"/>
      <c r="DJ587" s="44"/>
      <c r="DK587" s="44"/>
      <c r="DL587" s="44"/>
      <c r="DM587" s="44"/>
    </row>
    <row r="588" spans="2:117" ht="15" customHeight="1">
      <c r="B588" s="34"/>
      <c r="CC588"/>
      <c r="CD588"/>
      <c r="CE588"/>
      <c r="CF588"/>
      <c r="CG588"/>
      <c r="CH588"/>
      <c r="CI588"/>
      <c r="CJ588"/>
      <c r="CK588"/>
      <c r="CL588"/>
      <c r="CM588"/>
      <c r="CN588"/>
      <c r="CO588"/>
      <c r="DA588" s="67"/>
      <c r="DB588" s="34"/>
      <c r="DC588" s="83" t="s">
        <v>275</v>
      </c>
      <c r="DD588" s="66"/>
      <c r="DE588" s="44"/>
      <c r="DF588" s="44"/>
      <c r="DG588" s="44"/>
      <c r="DH588" s="66">
        <f>DH584*(1-DH586^DH587)/(1-DH586)</f>
        <v>1199042.5680172031</v>
      </c>
      <c r="DI588" s="44"/>
      <c r="DJ588" s="44"/>
      <c r="DK588" s="44"/>
      <c r="DL588" s="44"/>
      <c r="DM588" s="44"/>
    </row>
    <row r="589" spans="2:117" ht="15" customHeight="1">
      <c r="B589" s="34"/>
      <c r="CC589"/>
      <c r="CD589"/>
      <c r="CE589"/>
      <c r="CF589"/>
      <c r="CG589"/>
      <c r="CH589"/>
      <c r="CI589"/>
      <c r="CJ589"/>
      <c r="CK589"/>
      <c r="CL589"/>
      <c r="CM589"/>
      <c r="CN589"/>
      <c r="CO589"/>
      <c r="DA589" s="67"/>
      <c r="DB589" s="34"/>
      <c r="DC589" s="82" t="s">
        <v>276</v>
      </c>
      <c r="DD589" s="66"/>
      <c r="DE589" s="44"/>
      <c r="DF589" s="44"/>
      <c r="DG589" s="44"/>
      <c r="DH589" s="66">
        <f>(1/(1+DH485)^DH492)*(1/(1+DH486)^(DH546-DH481))*DH588</f>
        <v>157514.76550605617</v>
      </c>
      <c r="DI589" s="44"/>
      <c r="DJ589" s="44"/>
      <c r="DK589" s="44"/>
      <c r="DL589" s="44"/>
      <c r="DM589" s="44"/>
    </row>
    <row r="590" spans="2:117" ht="15" customHeight="1">
      <c r="B590" s="34"/>
      <c r="CC590"/>
      <c r="CD590"/>
      <c r="CE590"/>
      <c r="CF590"/>
      <c r="CG590"/>
      <c r="CH590"/>
      <c r="CI590"/>
      <c r="CJ590"/>
      <c r="CK590"/>
      <c r="CL590"/>
      <c r="CM590"/>
      <c r="CN590"/>
      <c r="CO590"/>
      <c r="DA590" s="34"/>
      <c r="DB590" s="34"/>
      <c r="DC590" s="44"/>
      <c r="DD590" s="66"/>
      <c r="DE590" s="44"/>
      <c r="DF590" s="44"/>
      <c r="DG590" s="44"/>
      <c r="DH590" s="44"/>
      <c r="DI590" s="44"/>
      <c r="DJ590" s="44"/>
      <c r="DK590" s="44"/>
      <c r="DL590" s="44"/>
      <c r="DM590" s="44"/>
    </row>
    <row r="591" spans="2:117" ht="15" customHeight="1">
      <c r="B591" s="34"/>
      <c r="CC591"/>
      <c r="CD591"/>
      <c r="CE591"/>
      <c r="CF591"/>
      <c r="CG591"/>
      <c r="CH591"/>
      <c r="CI591"/>
      <c r="CJ591"/>
      <c r="CK591"/>
      <c r="CL591"/>
      <c r="CM591"/>
      <c r="CN591"/>
      <c r="CO591"/>
      <c r="DA591" s="67">
        <f>DA584+0.01</f>
        <v>5.149999999999998</v>
      </c>
      <c r="DB591" s="34"/>
      <c r="DC591" s="54" t="s">
        <v>277</v>
      </c>
      <c r="DD591" s="66"/>
      <c r="DE591" s="44"/>
      <c r="DF591" s="44"/>
      <c r="DG591" s="44"/>
      <c r="DH591" s="84">
        <f>(DH477+DH478)*DH479*(1+DH487)^yrsuntilret</f>
        <v>95430.98595988932</v>
      </c>
      <c r="DI591" s="44"/>
      <c r="DJ591" s="44"/>
      <c r="DK591" s="44"/>
      <c r="DL591" s="44"/>
      <c r="DM591" s="44"/>
    </row>
    <row r="592" spans="2:117" ht="15" customHeight="1">
      <c r="B592" s="34"/>
      <c r="CC592"/>
      <c r="CD592"/>
      <c r="CE592"/>
      <c r="CF592"/>
      <c r="CG592"/>
      <c r="CH592"/>
      <c r="CI592"/>
      <c r="CJ592"/>
      <c r="CK592"/>
      <c r="CL592"/>
      <c r="CM592"/>
      <c r="CN592"/>
      <c r="CO592"/>
      <c r="DA592" s="34"/>
      <c r="DB592" s="34"/>
      <c r="DC592" s="44"/>
      <c r="DD592" s="66"/>
      <c r="DE592" s="44"/>
      <c r="DF592" s="44"/>
      <c r="DG592" s="44"/>
      <c r="DH592" s="44"/>
      <c r="DI592" s="44"/>
      <c r="DJ592" s="44"/>
      <c r="DK592" s="44"/>
      <c r="DL592" s="44"/>
      <c r="DM592" s="44"/>
    </row>
    <row r="593" spans="2:117" ht="15" customHeight="1">
      <c r="B593" s="34"/>
      <c r="CC593"/>
      <c r="CD593"/>
      <c r="CE593"/>
      <c r="CF593"/>
      <c r="CG593"/>
      <c r="CH593"/>
      <c r="CI593"/>
      <c r="CJ593"/>
      <c r="CK593"/>
      <c r="CL593"/>
      <c r="CM593"/>
      <c r="CN593"/>
      <c r="CO593"/>
      <c r="DA593" s="34"/>
      <c r="DB593" s="34"/>
      <c r="DC593" s="44" t="s">
        <v>278</v>
      </c>
      <c r="DD593" s="66"/>
      <c r="DE593" s="44"/>
      <c r="DF593" s="44"/>
      <c r="DG593" s="44"/>
      <c r="DH593" s="348">
        <f>(1+inflation)/(1+DH486)</f>
        <v>0.9857142857142855</v>
      </c>
      <c r="DI593" s="44"/>
      <c r="DJ593" s="44"/>
      <c r="DK593" s="44"/>
      <c r="DL593" s="44"/>
      <c r="DM593" s="44"/>
    </row>
    <row r="594" spans="2:117" ht="15" customHeight="1">
      <c r="B594" s="34"/>
      <c r="CC594"/>
      <c r="CD594"/>
      <c r="CE594"/>
      <c r="CF594"/>
      <c r="CG594"/>
      <c r="CH594"/>
      <c r="CI594"/>
      <c r="CJ594"/>
      <c r="CK594"/>
      <c r="CL594"/>
      <c r="CM594"/>
      <c r="CN594"/>
      <c r="CO594"/>
      <c r="DA594" s="34"/>
      <c r="DB594" s="34"/>
      <c r="DC594" s="44" t="s">
        <v>279</v>
      </c>
      <c r="DD594" s="66"/>
      <c r="DE594" s="44"/>
      <c r="DF594" s="44"/>
      <c r="DG594" s="44"/>
      <c r="DH594" s="86">
        <f>(1-DH593^DH482)/(1-DH593)*DH591</f>
        <v>2018260.8004053656</v>
      </c>
      <c r="DI594" s="44"/>
      <c r="DJ594" s="44"/>
      <c r="DK594" s="44"/>
      <c r="DL594" s="44"/>
      <c r="DM594" s="44"/>
    </row>
    <row r="595" spans="2:117" ht="15" customHeight="1">
      <c r="B595" s="34"/>
      <c r="CC595"/>
      <c r="CD595"/>
      <c r="CE595"/>
      <c r="CF595"/>
      <c r="CG595"/>
      <c r="CH595"/>
      <c r="CI595"/>
      <c r="CJ595"/>
      <c r="CK595"/>
      <c r="CL595"/>
      <c r="CM595"/>
      <c r="CN595"/>
      <c r="CO595"/>
      <c r="DA595" s="34"/>
      <c r="DB595" s="34"/>
      <c r="DC595" s="44" t="s">
        <v>280</v>
      </c>
      <c r="DD595" s="66"/>
      <c r="DE595" s="44"/>
      <c r="DF595" s="44"/>
      <c r="DG595" s="44"/>
      <c r="DH595" s="86">
        <f>1/(1+DH485)^DH492*DH594</f>
        <v>265133.1030153679</v>
      </c>
      <c r="DI595" s="44"/>
      <c r="DJ595" s="44"/>
      <c r="DK595" s="44"/>
      <c r="DL595" s="44"/>
      <c r="DM595" s="44"/>
    </row>
    <row r="596" spans="2:117" ht="15" customHeight="1">
      <c r="B596" s="34"/>
      <c r="CC596"/>
      <c r="CD596"/>
      <c r="CE596"/>
      <c r="CF596"/>
      <c r="CG596"/>
      <c r="CH596"/>
      <c r="CI596"/>
      <c r="CJ596"/>
      <c r="CK596"/>
      <c r="CL596"/>
      <c r="CM596"/>
      <c r="CN596"/>
      <c r="CO596"/>
      <c r="DA596" s="34"/>
      <c r="DB596" s="34"/>
      <c r="DC596" s="44"/>
      <c r="DD596" s="66"/>
      <c r="DE596" s="44"/>
      <c r="DF596" s="44"/>
      <c r="DG596" s="44"/>
      <c r="DH596" s="44"/>
      <c r="DI596" s="44"/>
      <c r="DJ596" s="44"/>
      <c r="DK596" s="44"/>
      <c r="DL596" s="44"/>
      <c r="DM596" s="44"/>
    </row>
    <row r="597" spans="2:117" ht="15" customHeight="1">
      <c r="B597" s="34"/>
      <c r="CC597"/>
      <c r="CD597"/>
      <c r="CE597"/>
      <c r="CF597"/>
      <c r="CG597"/>
      <c r="CH597"/>
      <c r="CI597"/>
      <c r="CJ597"/>
      <c r="CK597"/>
      <c r="CL597"/>
      <c r="CM597"/>
      <c r="CN597"/>
      <c r="CO597"/>
      <c r="DA597" s="67">
        <f>DA591+0.01</f>
        <v>5.1599999999999975</v>
      </c>
      <c r="DB597" s="34"/>
      <c r="DC597" s="56" t="s">
        <v>281</v>
      </c>
      <c r="DD597" s="66"/>
      <c r="DE597" s="44"/>
      <c r="DF597" s="44"/>
      <c r="DG597" s="44"/>
      <c r="DH597" s="44"/>
      <c r="DI597" s="44"/>
      <c r="DJ597" s="44"/>
      <c r="DK597" s="44"/>
      <c r="DL597" s="44"/>
      <c r="DM597" s="44"/>
    </row>
    <row r="598" spans="2:117" ht="15" customHeight="1">
      <c r="B598" s="34"/>
      <c r="CC598"/>
      <c r="CD598"/>
      <c r="CE598"/>
      <c r="CF598"/>
      <c r="CG598"/>
      <c r="CH598"/>
      <c r="CI598"/>
      <c r="CJ598"/>
      <c r="CK598"/>
      <c r="CL598"/>
      <c r="CM598"/>
      <c r="CN598"/>
      <c r="CO598"/>
      <c r="DA598" s="34"/>
      <c r="DB598" s="34"/>
      <c r="DC598" s="82" t="s">
        <v>180</v>
      </c>
      <c r="DD598" s="66"/>
      <c r="DE598" s="44"/>
      <c r="DF598" s="44"/>
      <c r="DG598" s="44"/>
      <c r="DH598" s="341">
        <f>pension</f>
        <v>2000</v>
      </c>
      <c r="DI598" s="44"/>
      <c r="DJ598" s="44"/>
      <c r="DK598" s="44"/>
      <c r="DL598" s="44"/>
      <c r="DM598" s="44"/>
    </row>
    <row r="599" spans="2:117" ht="15" customHeight="1">
      <c r="B599" s="34"/>
      <c r="CC599"/>
      <c r="CD599"/>
      <c r="CE599"/>
      <c r="CF599"/>
      <c r="CG599"/>
      <c r="CH599"/>
      <c r="CI599"/>
      <c r="CJ599"/>
      <c r="CK599"/>
      <c r="CL599"/>
      <c r="CM599"/>
      <c r="CN599"/>
      <c r="CO599"/>
      <c r="DA599" s="34"/>
      <c r="DB599" s="34"/>
      <c r="DC599" s="44" t="s">
        <v>282</v>
      </c>
      <c r="DD599" s="66"/>
      <c r="DE599" s="44"/>
      <c r="DF599" s="44"/>
      <c r="DG599" s="44"/>
      <c r="DH599" s="85">
        <f>(1+DH487*pensioncola)/(1+DH486)</f>
        <v>0.9857142857142855</v>
      </c>
      <c r="DI599" s="44"/>
      <c r="DJ599" s="44"/>
      <c r="DK599" s="44"/>
      <c r="DL599" s="44"/>
      <c r="DM599" s="44"/>
    </row>
    <row r="600" spans="2:117" ht="15" customHeight="1">
      <c r="B600" s="34"/>
      <c r="CC600"/>
      <c r="CD600"/>
      <c r="CE600"/>
      <c r="CF600"/>
      <c r="CG600"/>
      <c r="CH600"/>
      <c r="CI600"/>
      <c r="CJ600"/>
      <c r="CK600"/>
      <c r="CL600"/>
      <c r="CM600"/>
      <c r="CN600"/>
      <c r="CO600"/>
      <c r="DA600" s="34"/>
      <c r="DB600" s="34"/>
      <c r="DC600" s="44" t="s">
        <v>283</v>
      </c>
      <c r="DD600" s="66"/>
      <c r="DE600" s="44"/>
      <c r="DF600" s="44"/>
      <c r="DG600" s="44"/>
      <c r="DH600" s="341">
        <f>DH598*(1-DH599^DH482)/(1-DH599)</f>
        <v>42297.80883231496</v>
      </c>
      <c r="DI600" s="44"/>
      <c r="DJ600" s="44"/>
      <c r="DK600" s="44"/>
      <c r="DL600" s="44"/>
      <c r="DM600" s="44"/>
    </row>
    <row r="601" spans="2:117" ht="15" customHeight="1">
      <c r="B601" s="34"/>
      <c r="CC601"/>
      <c r="CD601"/>
      <c r="CE601"/>
      <c r="CF601"/>
      <c r="CG601"/>
      <c r="CH601"/>
      <c r="CI601"/>
      <c r="CJ601"/>
      <c r="CK601"/>
      <c r="CL601"/>
      <c r="CM601"/>
      <c r="CN601"/>
      <c r="CO601"/>
      <c r="DA601" s="34"/>
      <c r="DB601" s="34"/>
      <c r="DC601" s="44" t="s">
        <v>281</v>
      </c>
      <c r="DD601" s="66"/>
      <c r="DE601" s="44"/>
      <c r="DF601" s="44"/>
      <c r="DG601" s="44"/>
      <c r="DH601" s="341">
        <f>1/(1+DH485)^DH492*DH600</f>
        <v>5556.541208257163</v>
      </c>
      <c r="DI601" s="44"/>
      <c r="DJ601" s="44"/>
      <c r="DK601" s="44"/>
      <c r="DL601" s="44"/>
      <c r="DM601" s="44"/>
    </row>
    <row r="602" spans="2:117" ht="15" customHeight="1">
      <c r="B602" s="34"/>
      <c r="CC602"/>
      <c r="CD602"/>
      <c r="CE602"/>
      <c r="CF602"/>
      <c r="CG602"/>
      <c r="CH602"/>
      <c r="CI602"/>
      <c r="CJ602"/>
      <c r="CK602"/>
      <c r="CL602"/>
      <c r="CM602"/>
      <c r="CN602"/>
      <c r="CO602"/>
      <c r="DA602" s="34"/>
      <c r="DB602" s="34"/>
      <c r="DC602" s="44"/>
      <c r="DD602" s="66"/>
      <c r="DE602" s="44"/>
      <c r="DF602" s="44"/>
      <c r="DG602" s="44"/>
      <c r="DH602" s="44"/>
      <c r="DI602" s="44"/>
      <c r="DJ602" s="44"/>
      <c r="DK602" s="44"/>
      <c r="DL602" s="44"/>
      <c r="DM602" s="44"/>
    </row>
    <row r="603" spans="2:117" ht="15" customHeight="1">
      <c r="B603" s="34"/>
      <c r="CC603"/>
      <c r="CD603"/>
      <c r="CE603"/>
      <c r="CF603"/>
      <c r="CG603"/>
      <c r="CH603"/>
      <c r="CI603"/>
      <c r="CJ603"/>
      <c r="CK603"/>
      <c r="CL603"/>
      <c r="CM603"/>
      <c r="CN603"/>
      <c r="CO603"/>
      <c r="DA603" s="67">
        <f>DA597+0.01</f>
        <v>5.169999999999997</v>
      </c>
      <c r="DB603" s="34"/>
      <c r="DC603" s="56" t="s">
        <v>284</v>
      </c>
      <c r="DD603" s="66"/>
      <c r="DE603" s="44"/>
      <c r="DF603" s="44"/>
      <c r="DG603" s="44"/>
      <c r="DH603" s="44"/>
      <c r="DI603" s="44"/>
      <c r="DJ603" s="44"/>
      <c r="DK603" s="44"/>
      <c r="DL603" s="44"/>
      <c r="DM603" s="44"/>
    </row>
    <row r="604" spans="2:117" ht="15" customHeight="1">
      <c r="B604" s="34"/>
      <c r="CC604"/>
      <c r="CD604"/>
      <c r="CE604"/>
      <c r="CF604"/>
      <c r="CG604"/>
      <c r="CH604"/>
      <c r="CI604"/>
      <c r="CJ604"/>
      <c r="CK604"/>
      <c r="CL604"/>
      <c r="CM604"/>
      <c r="CN604"/>
      <c r="CO604"/>
      <c r="DA604" s="34"/>
      <c r="DB604" s="34">
        <v>1</v>
      </c>
      <c r="DC604" s="44" t="s">
        <v>285</v>
      </c>
      <c r="DD604" s="66"/>
      <c r="DE604" s="44"/>
      <c r="DF604" s="44"/>
      <c r="DG604" s="44"/>
      <c r="DH604" s="342">
        <f>DH595</f>
        <v>265133.1030153679</v>
      </c>
      <c r="DI604" s="44"/>
      <c r="DJ604" s="44"/>
      <c r="DK604" s="44"/>
      <c r="DL604" s="44"/>
      <c r="DM604" s="44"/>
    </row>
    <row r="605" spans="2:117" ht="15" customHeight="1">
      <c r="B605" s="34"/>
      <c r="CC605"/>
      <c r="CD605"/>
      <c r="CE605"/>
      <c r="CF605"/>
      <c r="CG605"/>
      <c r="CH605"/>
      <c r="CI605"/>
      <c r="CJ605"/>
      <c r="CK605"/>
      <c r="CL605"/>
      <c r="CM605"/>
      <c r="CN605"/>
      <c r="CO605"/>
      <c r="DA605" s="34"/>
      <c r="DB605" s="34">
        <v>2</v>
      </c>
      <c r="DC605" s="44" t="s">
        <v>286</v>
      </c>
      <c r="DD605" s="66"/>
      <c r="DE605" s="44"/>
      <c r="DF605" s="44"/>
      <c r="DG605" s="44"/>
      <c r="DH605" s="342">
        <f>DH589</f>
        <v>157514.76550605617</v>
      </c>
      <c r="DI605" s="44"/>
      <c r="DJ605" s="44"/>
      <c r="DK605" s="44"/>
      <c r="DL605" s="44"/>
      <c r="DM605" s="44"/>
    </row>
    <row r="606" spans="2:117" ht="15" customHeight="1">
      <c r="B606" s="34"/>
      <c r="CC606"/>
      <c r="CD606"/>
      <c r="CE606"/>
      <c r="CF606"/>
      <c r="CG606"/>
      <c r="CH606"/>
      <c r="CI606"/>
      <c r="CJ606"/>
      <c r="CK606"/>
      <c r="CL606"/>
      <c r="CM606"/>
      <c r="CN606"/>
      <c r="CO606"/>
      <c r="DA606" s="34"/>
      <c r="DB606" s="34">
        <v>3</v>
      </c>
      <c r="DC606" s="44" t="s">
        <v>287</v>
      </c>
      <c r="DD606" s="66"/>
      <c r="DE606" s="44"/>
      <c r="DF606" s="44"/>
      <c r="DG606" s="44"/>
      <c r="DH606" s="342">
        <f>DH601</f>
        <v>5556.541208257163</v>
      </c>
      <c r="DI606" s="44"/>
      <c r="DJ606" s="44"/>
      <c r="DK606" s="44"/>
      <c r="DL606" s="44"/>
      <c r="DM606" s="44"/>
    </row>
    <row r="607" spans="2:117" ht="15" customHeight="1">
      <c r="B607" s="34"/>
      <c r="CC607"/>
      <c r="CD607"/>
      <c r="CE607"/>
      <c r="CF607"/>
      <c r="CG607"/>
      <c r="CH607"/>
      <c r="CI607"/>
      <c r="CJ607"/>
      <c r="CK607"/>
      <c r="CL607"/>
      <c r="CM607"/>
      <c r="CN607"/>
      <c r="CO607"/>
      <c r="DA607" s="34"/>
      <c r="DB607" s="34">
        <v>4</v>
      </c>
      <c r="DC607" s="44" t="s">
        <v>288</v>
      </c>
      <c r="DD607" s="66"/>
      <c r="DE607" s="44"/>
      <c r="DF607" s="44"/>
      <c r="DG607" s="44"/>
      <c r="DH607" s="343">
        <f>DH483</f>
        <v>30000</v>
      </c>
      <c r="DI607" s="44"/>
      <c r="DJ607" s="44"/>
      <c r="DK607" s="44"/>
      <c r="DL607" s="44"/>
      <c r="DM607" s="44"/>
    </row>
    <row r="608" spans="2:117" ht="15" customHeight="1">
      <c r="B608" s="34"/>
      <c r="CC608"/>
      <c r="CD608"/>
      <c r="CE608"/>
      <c r="CF608"/>
      <c r="CG608"/>
      <c r="CH608"/>
      <c r="CI608"/>
      <c r="CJ608"/>
      <c r="CK608"/>
      <c r="CL608"/>
      <c r="CM608"/>
      <c r="CN608"/>
      <c r="CO608"/>
      <c r="DA608" s="34"/>
      <c r="DB608" s="34">
        <v>5</v>
      </c>
      <c r="DC608" s="44" t="s">
        <v>289</v>
      </c>
      <c r="DD608" s="66"/>
      <c r="DE608" s="44"/>
      <c r="DF608" s="44"/>
      <c r="DG608" s="44"/>
      <c r="DH608" s="342">
        <f>DH604-DH605-DH606-DH607</f>
        <v>72061.79630105455</v>
      </c>
      <c r="DI608" s="44"/>
      <c r="DJ608" s="44"/>
      <c r="DK608" s="44"/>
      <c r="DL608" s="44"/>
      <c r="DM608" s="44"/>
    </row>
    <row r="609" spans="2:117" ht="15" customHeight="1">
      <c r="B609" s="34"/>
      <c r="CC609"/>
      <c r="CD609"/>
      <c r="CE609"/>
      <c r="CF609"/>
      <c r="CG609"/>
      <c r="CH609"/>
      <c r="CI609"/>
      <c r="CJ609"/>
      <c r="CK609"/>
      <c r="CL609"/>
      <c r="CM609"/>
      <c r="CN609"/>
      <c r="CO609"/>
      <c r="DA609" s="34"/>
      <c r="DB609" s="34"/>
      <c r="DC609" s="44"/>
      <c r="DD609" s="66"/>
      <c r="DE609" s="44"/>
      <c r="DF609" s="44"/>
      <c r="DG609" s="44"/>
      <c r="DH609" s="44"/>
      <c r="DI609" s="44"/>
      <c r="DJ609" s="44"/>
      <c r="DK609" s="44"/>
      <c r="DL609" s="44"/>
      <c r="DM609" s="44"/>
    </row>
    <row r="610" spans="2:108" ht="15" customHeight="1">
      <c r="B610" s="34"/>
      <c r="CC610"/>
      <c r="CD610"/>
      <c r="CE610"/>
      <c r="CF610"/>
      <c r="CG610"/>
      <c r="CH610"/>
      <c r="CI610"/>
      <c r="CJ610"/>
      <c r="CK610"/>
      <c r="CL610"/>
      <c r="CM610"/>
      <c r="CN610"/>
      <c r="CO610"/>
      <c r="DA610" s="67">
        <f>DA603+0.01</f>
        <v>5.179999999999997</v>
      </c>
      <c r="DB610" s="34"/>
      <c r="DC610" s="32" t="s">
        <v>290</v>
      </c>
      <c r="DD610" s="37"/>
    </row>
    <row r="611" spans="2:112" ht="15" customHeight="1">
      <c r="B611" s="34"/>
      <c r="CC611"/>
      <c r="CD611"/>
      <c r="CE611"/>
      <c r="CF611"/>
      <c r="CG611"/>
      <c r="CH611"/>
      <c r="CI611"/>
      <c r="CJ611"/>
      <c r="CK611"/>
      <c r="CL611"/>
      <c r="CM611"/>
      <c r="CN611"/>
      <c r="CO611"/>
      <c r="DA611" s="34"/>
      <c r="DB611" s="34">
        <v>1</v>
      </c>
      <c r="DC611" s="29" t="s">
        <v>291</v>
      </c>
      <c r="DD611" s="37"/>
      <c r="DH611" s="344">
        <f>(1+DH487)/(1+DH485)</f>
        <v>0.967289719626168</v>
      </c>
    </row>
    <row r="612" spans="2:113" ht="15" customHeight="1">
      <c r="B612" s="34"/>
      <c r="CC612"/>
      <c r="CD612"/>
      <c r="CE612"/>
      <c r="CF612"/>
      <c r="CG612"/>
      <c r="CH612"/>
      <c r="CI612"/>
      <c r="CJ612"/>
      <c r="CK612"/>
      <c r="CL612"/>
      <c r="CM612"/>
      <c r="CN612"/>
      <c r="CO612"/>
      <c r="DA612" s="34"/>
      <c r="DB612" s="34">
        <v>2</v>
      </c>
      <c r="DC612" s="29" t="s">
        <v>292</v>
      </c>
      <c r="DD612" s="37"/>
      <c r="DH612" s="38">
        <f>(DH477+DH478)*(1-DH611^yrsuntilret)/(1-DH611)</f>
        <v>771964.7711373171</v>
      </c>
      <c r="DI612" s="30"/>
    </row>
    <row r="613" spans="2:112" ht="15" customHeight="1">
      <c r="B613" s="34"/>
      <c r="CC613"/>
      <c r="CD613"/>
      <c r="CE613"/>
      <c r="CF613"/>
      <c r="CG613"/>
      <c r="CH613"/>
      <c r="CI613"/>
      <c r="CJ613"/>
      <c r="CK613"/>
      <c r="CL613"/>
      <c r="CM613"/>
      <c r="CN613"/>
      <c r="CO613"/>
      <c r="DA613" s="34"/>
      <c r="DB613" s="34">
        <v>3</v>
      </c>
      <c r="DC613" s="29" t="s">
        <v>293</v>
      </c>
      <c r="DD613" s="37"/>
      <c r="DH613" s="345">
        <f>DH608/DH612*(1+DH485)</f>
        <v>0.09988295441063948</v>
      </c>
    </row>
    <row r="614" spans="2:112" ht="15" customHeight="1">
      <c r="B614" s="34"/>
      <c r="CC614"/>
      <c r="CD614"/>
      <c r="CE614"/>
      <c r="CF614"/>
      <c r="CG614"/>
      <c r="CH614"/>
      <c r="CI614"/>
      <c r="CJ614"/>
      <c r="CK614"/>
      <c r="CL614"/>
      <c r="CM614"/>
      <c r="CN614"/>
      <c r="CO614"/>
      <c r="DA614" s="34"/>
      <c r="DB614" s="34">
        <v>4</v>
      </c>
      <c r="DC614" s="29" t="s">
        <v>294</v>
      </c>
      <c r="DD614" s="37"/>
      <c r="DH614" s="346">
        <f>DH488</f>
        <v>0.02</v>
      </c>
    </row>
    <row r="615" spans="2:112" ht="15" customHeight="1">
      <c r="B615" s="34"/>
      <c r="CC615"/>
      <c r="CD615"/>
      <c r="CE615"/>
      <c r="CF615"/>
      <c r="CG615"/>
      <c r="CH615"/>
      <c r="CI615"/>
      <c r="CJ615"/>
      <c r="CK615"/>
      <c r="CL615"/>
      <c r="CM615"/>
      <c r="CN615"/>
      <c r="CO615"/>
      <c r="DA615" s="34"/>
      <c r="DB615" s="34">
        <v>5</v>
      </c>
      <c r="DC615" s="29" t="s">
        <v>295</v>
      </c>
      <c r="DD615" s="37"/>
      <c r="DH615" s="347">
        <f>MAX(DH613-DH614,0)</f>
        <v>0.07988295441063947</v>
      </c>
    </row>
    <row r="616" spans="2:108" ht="15" customHeight="1">
      <c r="B616" s="34"/>
      <c r="CC616"/>
      <c r="CD616"/>
      <c r="CE616"/>
      <c r="CF616"/>
      <c r="CG616"/>
      <c r="CH616"/>
      <c r="CI616"/>
      <c r="CJ616"/>
      <c r="CK616"/>
      <c r="CL616"/>
      <c r="CM616"/>
      <c r="CN616"/>
      <c r="CO616"/>
      <c r="DA616" s="34"/>
      <c r="DB616" s="34"/>
      <c r="DD616" s="37"/>
    </row>
    <row r="617" spans="2:106" ht="15" customHeight="1">
      <c r="B617" s="34"/>
      <c r="CC617"/>
      <c r="CD617"/>
      <c r="CE617"/>
      <c r="CF617"/>
      <c r="CG617"/>
      <c r="CH617"/>
      <c r="CI617"/>
      <c r="CJ617"/>
      <c r="CK617"/>
      <c r="CL617"/>
      <c r="CM617"/>
      <c r="CN617"/>
      <c r="CO617"/>
      <c r="DA617" s="34"/>
      <c r="DB617" s="33" t="s">
        <v>207</v>
      </c>
    </row>
    <row r="618" spans="2:106" ht="15" customHeight="1">
      <c r="B618" s="34"/>
      <c r="CC618"/>
      <c r="CD618"/>
      <c r="CE618"/>
      <c r="CF618"/>
      <c r="CG618"/>
      <c r="CH618"/>
      <c r="CI618"/>
      <c r="CJ618"/>
      <c r="CK618"/>
      <c r="CL618"/>
      <c r="CM618"/>
      <c r="CN618"/>
      <c r="CO618"/>
      <c r="DA618" s="34"/>
      <c r="DB618" s="34"/>
    </row>
    <row r="619" spans="2:106" ht="15" customHeight="1">
      <c r="B619" s="34"/>
      <c r="CC619"/>
      <c r="CD619"/>
      <c r="CE619"/>
      <c r="CF619"/>
      <c r="CG619"/>
      <c r="CH619"/>
      <c r="CI619"/>
      <c r="CJ619"/>
      <c r="CK619"/>
      <c r="CL619"/>
      <c r="CM619"/>
      <c r="CN619"/>
      <c r="CO619"/>
      <c r="DA619" s="34"/>
      <c r="DB619" s="34"/>
    </row>
    <row r="620" spans="2:106" ht="15" customHeight="1">
      <c r="B620" s="34"/>
      <c r="CC620"/>
      <c r="CD620"/>
      <c r="CE620"/>
      <c r="CF620"/>
      <c r="CG620"/>
      <c r="CH620"/>
      <c r="CI620"/>
      <c r="CJ620"/>
      <c r="CK620"/>
      <c r="CL620"/>
      <c r="CM620"/>
      <c r="CN620"/>
      <c r="CO620"/>
      <c r="DA620" s="34"/>
      <c r="DB620" s="34"/>
    </row>
    <row r="621" spans="81:106" ht="15" customHeight="1">
      <c r="CC621"/>
      <c r="CD621"/>
      <c r="CE621"/>
      <c r="CF621"/>
      <c r="CG621"/>
      <c r="CH621"/>
      <c r="CI621"/>
      <c r="CJ621"/>
      <c r="CK621"/>
      <c r="CL621"/>
      <c r="CM621"/>
      <c r="CN621"/>
      <c r="CO621"/>
      <c r="DA621" s="34"/>
      <c r="DB621" s="34"/>
    </row>
    <row r="622" spans="81:106" ht="15" customHeight="1">
      <c r="CC622"/>
      <c r="CD622"/>
      <c r="CE622"/>
      <c r="CF622"/>
      <c r="CG622"/>
      <c r="CH622"/>
      <c r="CI622"/>
      <c r="CJ622"/>
      <c r="CK622"/>
      <c r="CL622"/>
      <c r="CM622"/>
      <c r="CN622"/>
      <c r="CO622"/>
      <c r="DA622" s="34"/>
      <c r="DB622" s="34"/>
    </row>
    <row r="623" spans="81:106" ht="15" customHeight="1">
      <c r="CC623"/>
      <c r="CD623"/>
      <c r="CE623"/>
      <c r="CF623"/>
      <c r="CG623"/>
      <c r="CH623"/>
      <c r="CI623"/>
      <c r="CJ623"/>
      <c r="CK623"/>
      <c r="CL623"/>
      <c r="CM623"/>
      <c r="CN623"/>
      <c r="CO623"/>
      <c r="DA623" s="34"/>
      <c r="DB623" s="34"/>
    </row>
    <row r="624" spans="81:106" ht="15" customHeight="1">
      <c r="CC624"/>
      <c r="CD624"/>
      <c r="CE624"/>
      <c r="CF624"/>
      <c r="CG624"/>
      <c r="CH624"/>
      <c r="CI624"/>
      <c r="CJ624"/>
      <c r="CK624"/>
      <c r="CL624"/>
      <c r="CM624"/>
      <c r="CN624"/>
      <c r="CO624"/>
      <c r="DA624" s="34"/>
      <c r="DB624" s="34"/>
    </row>
    <row r="625" spans="81:106" ht="15" customHeight="1">
      <c r="CC625"/>
      <c r="CD625"/>
      <c r="CE625"/>
      <c r="CF625"/>
      <c r="CG625"/>
      <c r="CH625"/>
      <c r="CI625"/>
      <c r="CJ625"/>
      <c r="CK625"/>
      <c r="CL625"/>
      <c r="CM625"/>
      <c r="CN625"/>
      <c r="CO625"/>
      <c r="DA625" s="34"/>
      <c r="DB625" s="34"/>
    </row>
    <row r="626" spans="81:106" ht="15" customHeight="1">
      <c r="CC626"/>
      <c r="CD626"/>
      <c r="CE626"/>
      <c r="CF626"/>
      <c r="CG626"/>
      <c r="CH626"/>
      <c r="CI626"/>
      <c r="CJ626"/>
      <c r="CK626"/>
      <c r="CL626"/>
      <c r="CM626"/>
      <c r="CN626"/>
      <c r="CO626"/>
      <c r="DA626" s="34"/>
      <c r="DB626" s="34"/>
    </row>
    <row r="627" spans="81:106" ht="15" customHeight="1">
      <c r="CC627"/>
      <c r="CD627"/>
      <c r="CE627"/>
      <c r="CF627"/>
      <c r="CG627"/>
      <c r="CH627"/>
      <c r="CI627"/>
      <c r="CJ627"/>
      <c r="CK627"/>
      <c r="CL627"/>
      <c r="CM627"/>
      <c r="CN627"/>
      <c r="CO627"/>
      <c r="DA627" s="34"/>
      <c r="DB627" s="34"/>
    </row>
    <row r="628" spans="81:106" ht="15" customHeight="1">
      <c r="CC628"/>
      <c r="CD628"/>
      <c r="CE628"/>
      <c r="CF628"/>
      <c r="CG628"/>
      <c r="CH628"/>
      <c r="CI628"/>
      <c r="CJ628"/>
      <c r="CK628"/>
      <c r="CL628"/>
      <c r="CM628"/>
      <c r="CN628"/>
      <c r="CO628"/>
      <c r="DA628" s="34"/>
      <c r="DB628" s="34"/>
    </row>
    <row r="629" spans="81:106" ht="15" customHeight="1">
      <c r="CC629"/>
      <c r="CD629"/>
      <c r="CE629"/>
      <c r="CF629"/>
      <c r="CG629"/>
      <c r="CH629"/>
      <c r="CI629"/>
      <c r="CJ629"/>
      <c r="CK629"/>
      <c r="CL629"/>
      <c r="CM629"/>
      <c r="CN629"/>
      <c r="CO629"/>
      <c r="DA629" s="34"/>
      <c r="DB629" s="34"/>
    </row>
    <row r="630" spans="81:106" ht="15" customHeight="1">
      <c r="CC630"/>
      <c r="CD630"/>
      <c r="CE630"/>
      <c r="CF630"/>
      <c r="CG630"/>
      <c r="CH630"/>
      <c r="CI630"/>
      <c r="CJ630"/>
      <c r="CK630"/>
      <c r="CL630"/>
      <c r="CM630"/>
      <c r="CN630"/>
      <c r="CO630"/>
      <c r="DA630" s="34"/>
      <c r="DB630" s="34"/>
    </row>
    <row r="631" spans="81:106" ht="15" customHeight="1">
      <c r="CC631"/>
      <c r="CD631"/>
      <c r="CE631"/>
      <c r="CF631"/>
      <c r="CG631"/>
      <c r="CH631"/>
      <c r="CI631"/>
      <c r="CJ631"/>
      <c r="CK631"/>
      <c r="CL631"/>
      <c r="CM631"/>
      <c r="CN631"/>
      <c r="CO631"/>
      <c r="DA631" s="34"/>
      <c r="DB631" s="34"/>
    </row>
    <row r="632" spans="81:106" ht="15" customHeight="1">
      <c r="CC632"/>
      <c r="CD632"/>
      <c r="CE632"/>
      <c r="CF632"/>
      <c r="CG632"/>
      <c r="CH632"/>
      <c r="CI632"/>
      <c r="CJ632"/>
      <c r="CK632"/>
      <c r="CL632"/>
      <c r="CM632"/>
      <c r="CN632"/>
      <c r="CO632"/>
      <c r="DA632" s="34"/>
      <c r="DB632" s="34"/>
    </row>
    <row r="633" spans="81:106" ht="15" customHeight="1">
      <c r="CC633"/>
      <c r="CD633"/>
      <c r="CE633"/>
      <c r="CF633"/>
      <c r="CG633"/>
      <c r="CH633"/>
      <c r="CI633"/>
      <c r="CJ633"/>
      <c r="CK633"/>
      <c r="CL633"/>
      <c r="CM633"/>
      <c r="CN633"/>
      <c r="CO633"/>
      <c r="DA633" s="34"/>
      <c r="DB633" s="34"/>
    </row>
    <row r="634" spans="81:106" ht="15" customHeight="1">
      <c r="CC634"/>
      <c r="CD634"/>
      <c r="CE634"/>
      <c r="CF634"/>
      <c r="CG634"/>
      <c r="CH634"/>
      <c r="CI634"/>
      <c r="CJ634"/>
      <c r="CK634"/>
      <c r="CL634"/>
      <c r="CM634"/>
      <c r="CN634"/>
      <c r="CO634"/>
      <c r="DA634" s="34"/>
      <c r="DB634" s="34"/>
    </row>
    <row r="635" spans="81:106" ht="15" customHeight="1">
      <c r="CC635"/>
      <c r="CD635"/>
      <c r="CE635"/>
      <c r="CF635"/>
      <c r="CG635"/>
      <c r="CH635"/>
      <c r="CI635"/>
      <c r="CJ635"/>
      <c r="CK635"/>
      <c r="CL635"/>
      <c r="CM635"/>
      <c r="CN635"/>
      <c r="CO635"/>
      <c r="DA635" s="34"/>
      <c r="DB635" s="34"/>
    </row>
    <row r="636" spans="81:106" ht="15" customHeight="1">
      <c r="CC636"/>
      <c r="CD636"/>
      <c r="CE636"/>
      <c r="CF636"/>
      <c r="CG636"/>
      <c r="CH636"/>
      <c r="CI636"/>
      <c r="CJ636"/>
      <c r="CK636"/>
      <c r="CL636"/>
      <c r="CM636"/>
      <c r="CN636"/>
      <c r="CO636"/>
      <c r="DB636" s="34"/>
    </row>
    <row r="637" spans="81:106" ht="15" customHeight="1">
      <c r="CC637"/>
      <c r="CD637"/>
      <c r="CE637"/>
      <c r="CF637"/>
      <c r="CG637"/>
      <c r="CH637"/>
      <c r="CI637"/>
      <c r="CJ637"/>
      <c r="CK637"/>
      <c r="CL637"/>
      <c r="CM637"/>
      <c r="CN637"/>
      <c r="CO637"/>
      <c r="DB637" s="34"/>
    </row>
    <row r="638" spans="81:106" ht="15" customHeight="1">
      <c r="CC638"/>
      <c r="CD638"/>
      <c r="CE638"/>
      <c r="CF638"/>
      <c r="CG638"/>
      <c r="CH638"/>
      <c r="CI638"/>
      <c r="CJ638"/>
      <c r="CK638"/>
      <c r="CL638"/>
      <c r="CM638"/>
      <c r="CN638"/>
      <c r="CO638"/>
      <c r="DB638" s="34"/>
    </row>
    <row r="639" spans="81:106" ht="15" customHeight="1">
      <c r="CC639"/>
      <c r="CD639"/>
      <c r="CE639"/>
      <c r="CF639"/>
      <c r="CG639"/>
      <c r="CH639"/>
      <c r="CI639"/>
      <c r="CJ639"/>
      <c r="CK639"/>
      <c r="CL639"/>
      <c r="CM639"/>
      <c r="CN639"/>
      <c r="CO639"/>
      <c r="DB639" s="34"/>
    </row>
    <row r="640" spans="81:106" ht="15" customHeight="1">
      <c r="CC640"/>
      <c r="CD640"/>
      <c r="CE640"/>
      <c r="CF640"/>
      <c r="CG640"/>
      <c r="CH640"/>
      <c r="CI640"/>
      <c r="CJ640"/>
      <c r="CK640"/>
      <c r="CL640"/>
      <c r="CM640"/>
      <c r="CN640"/>
      <c r="CO640"/>
      <c r="DB640" s="34"/>
    </row>
    <row r="641" spans="81:106" ht="15" customHeight="1">
      <c r="CC641"/>
      <c r="CD641"/>
      <c r="CE641"/>
      <c r="CF641"/>
      <c r="CG641"/>
      <c r="CH641"/>
      <c r="CI641"/>
      <c r="CJ641"/>
      <c r="CK641"/>
      <c r="CL641"/>
      <c r="CM641"/>
      <c r="CN641"/>
      <c r="CO641"/>
      <c r="DB641" s="34"/>
    </row>
    <row r="642" spans="81:106" ht="15" customHeight="1">
      <c r="CC642"/>
      <c r="CD642"/>
      <c r="CE642"/>
      <c r="CF642"/>
      <c r="CG642"/>
      <c r="CH642"/>
      <c r="CI642"/>
      <c r="CJ642"/>
      <c r="CK642"/>
      <c r="CL642"/>
      <c r="CM642"/>
      <c r="CN642"/>
      <c r="CO642"/>
      <c r="DB642" s="34"/>
    </row>
    <row r="643" spans="81:106" ht="15" customHeight="1">
      <c r="CC643"/>
      <c r="CD643"/>
      <c r="CE643"/>
      <c r="CF643"/>
      <c r="CG643"/>
      <c r="CH643"/>
      <c r="CI643"/>
      <c r="CJ643"/>
      <c r="CK643"/>
      <c r="CL643"/>
      <c r="CM643"/>
      <c r="CN643"/>
      <c r="CO643"/>
      <c r="DB643" s="34"/>
    </row>
    <row r="644" spans="81:106" ht="15" customHeight="1">
      <c r="CC644"/>
      <c r="CD644"/>
      <c r="CE644"/>
      <c r="CF644"/>
      <c r="CG644"/>
      <c r="CH644"/>
      <c r="CI644"/>
      <c r="CJ644"/>
      <c r="CK644"/>
      <c r="CL644"/>
      <c r="CM644"/>
      <c r="CN644"/>
      <c r="CO644"/>
      <c r="DB644" s="34"/>
    </row>
    <row r="645" spans="81:106" ht="15" customHeight="1">
      <c r="CC645"/>
      <c r="CD645"/>
      <c r="CE645"/>
      <c r="CF645"/>
      <c r="CG645"/>
      <c r="CH645"/>
      <c r="CI645"/>
      <c r="CJ645"/>
      <c r="CK645"/>
      <c r="CL645"/>
      <c r="CM645"/>
      <c r="CN645"/>
      <c r="CO645"/>
      <c r="DB645" s="34"/>
    </row>
    <row r="646" spans="81:106" ht="15" customHeight="1">
      <c r="CC646"/>
      <c r="CD646"/>
      <c r="CE646"/>
      <c r="CF646"/>
      <c r="CG646"/>
      <c r="CH646"/>
      <c r="CI646"/>
      <c r="CJ646"/>
      <c r="CK646"/>
      <c r="CL646"/>
      <c r="CM646"/>
      <c r="CN646"/>
      <c r="CO646"/>
      <c r="DB646" s="34"/>
    </row>
    <row r="647" spans="81:106" ht="15" customHeight="1">
      <c r="CC647"/>
      <c r="CD647"/>
      <c r="CE647"/>
      <c r="CF647"/>
      <c r="CG647"/>
      <c r="CH647"/>
      <c r="CI647"/>
      <c r="CJ647"/>
      <c r="CK647"/>
      <c r="CL647"/>
      <c r="CM647"/>
      <c r="CN647"/>
      <c r="CO647"/>
      <c r="DB647" s="34"/>
    </row>
    <row r="648" spans="81:106" ht="15" customHeight="1">
      <c r="CC648"/>
      <c r="CD648"/>
      <c r="CE648"/>
      <c r="CF648"/>
      <c r="CG648"/>
      <c r="CH648"/>
      <c r="CI648"/>
      <c r="CJ648"/>
      <c r="CK648"/>
      <c r="CL648"/>
      <c r="CM648"/>
      <c r="CN648"/>
      <c r="CO648"/>
      <c r="DB648" s="34"/>
    </row>
    <row r="649" spans="81:106" ht="15" customHeight="1">
      <c r="CC649"/>
      <c r="CD649"/>
      <c r="CE649"/>
      <c r="CF649"/>
      <c r="CG649"/>
      <c r="CH649"/>
      <c r="CI649"/>
      <c r="CJ649"/>
      <c r="CK649"/>
      <c r="CL649"/>
      <c r="CM649"/>
      <c r="CN649"/>
      <c r="CO649"/>
      <c r="DB649" s="34"/>
    </row>
    <row r="650" spans="81:106" ht="15" customHeight="1">
      <c r="CC650"/>
      <c r="CD650"/>
      <c r="CE650"/>
      <c r="CF650"/>
      <c r="CG650"/>
      <c r="CH650"/>
      <c r="CI650"/>
      <c r="CJ650"/>
      <c r="CK650"/>
      <c r="CL650"/>
      <c r="CM650"/>
      <c r="CN650"/>
      <c r="CO650"/>
      <c r="DB650" s="34"/>
    </row>
    <row r="651" spans="81:106" ht="15" customHeight="1">
      <c r="CC651"/>
      <c r="CD651"/>
      <c r="CE651"/>
      <c r="CF651"/>
      <c r="CG651"/>
      <c r="CH651"/>
      <c r="CI651"/>
      <c r="CJ651"/>
      <c r="CK651"/>
      <c r="CL651"/>
      <c r="CM651"/>
      <c r="CN651"/>
      <c r="CO651"/>
      <c r="DB651" s="34"/>
    </row>
    <row r="652" spans="81:93" ht="15" customHeight="1">
      <c r="CC652"/>
      <c r="CD652"/>
      <c r="CE652"/>
      <c r="CF652"/>
      <c r="CG652"/>
      <c r="CH652"/>
      <c r="CI652"/>
      <c r="CJ652"/>
      <c r="CK652"/>
      <c r="CL652"/>
      <c r="CM652"/>
      <c r="CN652"/>
      <c r="CO652"/>
    </row>
    <row r="653" spans="81:93" ht="15" customHeight="1">
      <c r="CC653"/>
      <c r="CD653"/>
      <c r="CE653"/>
      <c r="CF653"/>
      <c r="CG653"/>
      <c r="CH653"/>
      <c r="CI653"/>
      <c r="CJ653"/>
      <c r="CK653"/>
      <c r="CL653"/>
      <c r="CM653"/>
      <c r="CN653"/>
      <c r="CO653"/>
    </row>
    <row r="654" spans="81:93" ht="15" customHeight="1">
      <c r="CC654"/>
      <c r="CD654"/>
      <c r="CE654"/>
      <c r="CF654"/>
      <c r="CG654"/>
      <c r="CH654"/>
      <c r="CI654"/>
      <c r="CJ654"/>
      <c r="CK654"/>
      <c r="CL654"/>
      <c r="CM654"/>
      <c r="CN654"/>
      <c r="CO654"/>
    </row>
    <row r="655" spans="81:93" ht="15" customHeight="1">
      <c r="CC655"/>
      <c r="CD655"/>
      <c r="CE655"/>
      <c r="CF655"/>
      <c r="CG655"/>
      <c r="CH655"/>
      <c r="CI655"/>
      <c r="CJ655"/>
      <c r="CK655"/>
      <c r="CL655"/>
      <c r="CM655"/>
      <c r="CN655"/>
      <c r="CO655"/>
    </row>
    <row r="656" spans="81:93" ht="15" customHeight="1">
      <c r="CC656"/>
      <c r="CD656"/>
      <c r="CE656"/>
      <c r="CF656"/>
      <c r="CG656"/>
      <c r="CH656"/>
      <c r="CI656"/>
      <c r="CJ656"/>
      <c r="CK656"/>
      <c r="CL656"/>
      <c r="CM656"/>
      <c r="CN656"/>
      <c r="CO656"/>
    </row>
    <row r="657" spans="81:93" ht="15" customHeight="1">
      <c r="CC657"/>
      <c r="CD657"/>
      <c r="CE657"/>
      <c r="CF657"/>
      <c r="CG657"/>
      <c r="CH657"/>
      <c r="CI657"/>
      <c r="CJ657"/>
      <c r="CK657"/>
      <c r="CL657"/>
      <c r="CM657"/>
      <c r="CN657"/>
      <c r="CO657"/>
    </row>
    <row r="658" spans="81:93" ht="15" customHeight="1">
      <c r="CC658"/>
      <c r="CD658"/>
      <c r="CE658"/>
      <c r="CF658"/>
      <c r="CG658"/>
      <c r="CH658"/>
      <c r="CI658"/>
      <c r="CJ658"/>
      <c r="CK658"/>
      <c r="CL658"/>
      <c r="CM658"/>
      <c r="CN658"/>
      <c r="CO658"/>
    </row>
    <row r="659" spans="81:93" ht="15" customHeight="1">
      <c r="CC659"/>
      <c r="CD659"/>
      <c r="CE659"/>
      <c r="CF659"/>
      <c r="CG659"/>
      <c r="CH659"/>
      <c r="CI659"/>
      <c r="CJ659"/>
      <c r="CK659"/>
      <c r="CL659"/>
      <c r="CM659"/>
      <c r="CN659"/>
      <c r="CO659"/>
    </row>
    <row r="660" spans="81:93" ht="15" customHeight="1">
      <c r="CC660"/>
      <c r="CD660"/>
      <c r="CE660"/>
      <c r="CF660"/>
      <c r="CG660"/>
      <c r="CH660"/>
      <c r="CI660"/>
      <c r="CJ660"/>
      <c r="CK660"/>
      <c r="CL660"/>
      <c r="CM660"/>
      <c r="CN660"/>
      <c r="CO660"/>
    </row>
    <row r="661" spans="81:93" ht="15" customHeight="1">
      <c r="CC661"/>
      <c r="CD661"/>
      <c r="CE661"/>
      <c r="CF661"/>
      <c r="CG661"/>
      <c r="CH661"/>
      <c r="CI661"/>
      <c r="CJ661"/>
      <c r="CK661"/>
      <c r="CL661"/>
      <c r="CM661"/>
      <c r="CN661"/>
      <c r="CO661"/>
    </row>
    <row r="662" spans="81:93" ht="15" customHeight="1">
      <c r="CC662"/>
      <c r="CD662"/>
      <c r="CE662"/>
      <c r="CF662"/>
      <c r="CG662"/>
      <c r="CH662"/>
      <c r="CI662"/>
      <c r="CJ662"/>
      <c r="CK662"/>
      <c r="CL662"/>
      <c r="CM662"/>
      <c r="CN662"/>
      <c r="CO662"/>
    </row>
    <row r="663" spans="81:93" ht="15" customHeight="1">
      <c r="CC663"/>
      <c r="CD663"/>
      <c r="CE663"/>
      <c r="CF663"/>
      <c r="CG663"/>
      <c r="CH663"/>
      <c r="CI663"/>
      <c r="CJ663"/>
      <c r="CK663"/>
      <c r="CL663"/>
      <c r="CM663"/>
      <c r="CN663"/>
      <c r="CO663"/>
    </row>
    <row r="664" spans="81:93" ht="15" customHeight="1">
      <c r="CC664"/>
      <c r="CD664"/>
      <c r="CE664"/>
      <c r="CF664"/>
      <c r="CG664"/>
      <c r="CH664"/>
      <c r="CI664"/>
      <c r="CJ664"/>
      <c r="CK664"/>
      <c r="CL664"/>
      <c r="CM664"/>
      <c r="CN664"/>
      <c r="CO664"/>
    </row>
    <row r="665" spans="81:93" ht="15" customHeight="1">
      <c r="CC665"/>
      <c r="CD665"/>
      <c r="CE665"/>
      <c r="CF665"/>
      <c r="CG665"/>
      <c r="CH665"/>
      <c r="CI665"/>
      <c r="CJ665"/>
      <c r="CK665"/>
      <c r="CL665"/>
      <c r="CM665"/>
      <c r="CN665"/>
      <c r="CO665"/>
    </row>
    <row r="666" spans="81:93" ht="15" customHeight="1">
      <c r="CC666"/>
      <c r="CD666"/>
      <c r="CE666"/>
      <c r="CF666"/>
      <c r="CG666"/>
      <c r="CH666"/>
      <c r="CI666"/>
      <c r="CJ666"/>
      <c r="CK666"/>
      <c r="CL666"/>
      <c r="CM666"/>
      <c r="CN666"/>
      <c r="CO666"/>
    </row>
    <row r="667" spans="81:93" ht="15" customHeight="1">
      <c r="CC667"/>
      <c r="CD667"/>
      <c r="CE667"/>
      <c r="CF667"/>
      <c r="CG667"/>
      <c r="CH667"/>
      <c r="CI667"/>
      <c r="CJ667"/>
      <c r="CK667"/>
      <c r="CL667"/>
      <c r="CM667"/>
      <c r="CN667"/>
      <c r="CO667"/>
    </row>
    <row r="668" spans="81:93" ht="15" customHeight="1">
      <c r="CC668"/>
      <c r="CD668"/>
      <c r="CE668"/>
      <c r="CF668"/>
      <c r="CG668"/>
      <c r="CH668"/>
      <c r="CI668"/>
      <c r="CJ668"/>
      <c r="CK668"/>
      <c r="CL668"/>
      <c r="CM668"/>
      <c r="CN668"/>
      <c r="CO668"/>
    </row>
    <row r="669" spans="81:93" ht="15" customHeight="1">
      <c r="CC669"/>
      <c r="CD669"/>
      <c r="CE669"/>
      <c r="CF669"/>
      <c r="CG669"/>
      <c r="CH669"/>
      <c r="CI669"/>
      <c r="CJ669"/>
      <c r="CK669"/>
      <c r="CL669"/>
      <c r="CM669"/>
      <c r="CN669"/>
      <c r="CO669"/>
    </row>
    <row r="670" spans="81:93" ht="15" customHeight="1">
      <c r="CC670"/>
      <c r="CD670"/>
      <c r="CE670"/>
      <c r="CF670"/>
      <c r="CG670"/>
      <c r="CH670"/>
      <c r="CI670"/>
      <c r="CJ670"/>
      <c r="CK670"/>
      <c r="CL670"/>
      <c r="CM670"/>
      <c r="CN670"/>
      <c r="CO670"/>
    </row>
    <row r="671" spans="81:93" ht="15" customHeight="1">
      <c r="CC671"/>
      <c r="CD671"/>
      <c r="CE671"/>
      <c r="CF671"/>
      <c r="CG671"/>
      <c r="CH671"/>
      <c r="CI671"/>
      <c r="CJ671"/>
      <c r="CK671"/>
      <c r="CL671"/>
      <c r="CM671"/>
      <c r="CN671"/>
      <c r="CO671"/>
    </row>
    <row r="672" spans="81:93" ht="15" customHeight="1">
      <c r="CC672"/>
      <c r="CD672"/>
      <c r="CE672"/>
      <c r="CF672"/>
      <c r="CG672"/>
      <c r="CH672"/>
      <c r="CI672"/>
      <c r="CJ672"/>
      <c r="CK672"/>
      <c r="CL672"/>
      <c r="CM672"/>
      <c r="CN672"/>
      <c r="CO672"/>
    </row>
    <row r="673" spans="81:93" ht="15" customHeight="1">
      <c r="CC673"/>
      <c r="CD673"/>
      <c r="CE673"/>
      <c r="CF673"/>
      <c r="CG673"/>
      <c r="CH673"/>
      <c r="CI673"/>
      <c r="CJ673"/>
      <c r="CK673"/>
      <c r="CL673"/>
      <c r="CM673"/>
      <c r="CN673"/>
      <c r="CO673"/>
    </row>
    <row r="674" spans="81:93" ht="15" customHeight="1">
      <c r="CC674"/>
      <c r="CD674"/>
      <c r="CE674"/>
      <c r="CF674"/>
      <c r="CG674"/>
      <c r="CH674"/>
      <c r="CI674"/>
      <c r="CJ674"/>
      <c r="CK674"/>
      <c r="CL674"/>
      <c r="CM674"/>
      <c r="CN674"/>
      <c r="CO674"/>
    </row>
    <row r="675" spans="81:93" ht="15" customHeight="1">
      <c r="CC675"/>
      <c r="CD675"/>
      <c r="CE675"/>
      <c r="CF675"/>
      <c r="CG675"/>
      <c r="CH675"/>
      <c r="CI675"/>
      <c r="CJ675"/>
      <c r="CK675"/>
      <c r="CL675"/>
      <c r="CM675"/>
      <c r="CN675"/>
      <c r="CO675"/>
    </row>
    <row r="676" spans="81:93" ht="15" customHeight="1">
      <c r="CC676"/>
      <c r="CD676"/>
      <c r="CE676"/>
      <c r="CF676"/>
      <c r="CG676"/>
      <c r="CH676"/>
      <c r="CI676"/>
      <c r="CJ676"/>
      <c r="CK676"/>
      <c r="CL676"/>
      <c r="CM676"/>
      <c r="CN676"/>
      <c r="CO676"/>
    </row>
    <row r="677" spans="81:93" ht="15" customHeight="1">
      <c r="CC677"/>
      <c r="CD677"/>
      <c r="CE677"/>
      <c r="CF677"/>
      <c r="CG677"/>
      <c r="CH677"/>
      <c r="CI677"/>
      <c r="CJ677"/>
      <c r="CK677"/>
      <c r="CL677"/>
      <c r="CM677"/>
      <c r="CN677"/>
      <c r="CO677"/>
    </row>
    <row r="678" spans="81:93" ht="15" customHeight="1">
      <c r="CC678"/>
      <c r="CD678"/>
      <c r="CE678"/>
      <c r="CF678"/>
      <c r="CG678"/>
      <c r="CH678"/>
      <c r="CI678"/>
      <c r="CJ678"/>
      <c r="CK678"/>
      <c r="CL678"/>
      <c r="CM678"/>
      <c r="CN678"/>
      <c r="CO678"/>
    </row>
    <row r="679" spans="81:93" ht="15" customHeight="1">
      <c r="CC679"/>
      <c r="CD679"/>
      <c r="CE679"/>
      <c r="CF679"/>
      <c r="CG679"/>
      <c r="CH679"/>
      <c r="CI679"/>
      <c r="CJ679"/>
      <c r="CK679"/>
      <c r="CL679"/>
      <c r="CM679"/>
      <c r="CN679"/>
      <c r="CO679"/>
    </row>
    <row r="680" spans="81:93" ht="15" customHeight="1">
      <c r="CC680"/>
      <c r="CD680"/>
      <c r="CE680"/>
      <c r="CF680"/>
      <c r="CG680"/>
      <c r="CH680"/>
      <c r="CI680"/>
      <c r="CJ680"/>
      <c r="CK680"/>
      <c r="CL680"/>
      <c r="CM680"/>
      <c r="CN680"/>
      <c r="CO680"/>
    </row>
    <row r="681" spans="81:93" ht="15" customHeight="1">
      <c r="CC681"/>
      <c r="CD681"/>
      <c r="CE681"/>
      <c r="CF681"/>
      <c r="CG681"/>
      <c r="CH681"/>
      <c r="CI681"/>
      <c r="CJ681"/>
      <c r="CK681"/>
      <c r="CL681"/>
      <c r="CM681"/>
      <c r="CN681"/>
      <c r="CO681"/>
    </row>
    <row r="682" spans="81:93" ht="15" customHeight="1">
      <c r="CC682"/>
      <c r="CD682"/>
      <c r="CE682"/>
      <c r="CF682"/>
      <c r="CG682"/>
      <c r="CH682"/>
      <c r="CI682"/>
      <c r="CJ682"/>
      <c r="CK682"/>
      <c r="CL682"/>
      <c r="CM682"/>
      <c r="CN682"/>
      <c r="CO682"/>
    </row>
    <row r="683" spans="81:93" ht="15" customHeight="1">
      <c r="CC683"/>
      <c r="CD683"/>
      <c r="CE683"/>
      <c r="CF683"/>
      <c r="CG683"/>
      <c r="CH683"/>
      <c r="CI683"/>
      <c r="CJ683"/>
      <c r="CK683"/>
      <c r="CL683"/>
      <c r="CM683"/>
      <c r="CN683"/>
      <c r="CO683"/>
    </row>
    <row r="684" spans="81:93" ht="15" customHeight="1">
      <c r="CC684"/>
      <c r="CD684"/>
      <c r="CE684"/>
      <c r="CF684"/>
      <c r="CG684"/>
      <c r="CH684"/>
      <c r="CI684"/>
      <c r="CJ684"/>
      <c r="CK684"/>
      <c r="CL684"/>
      <c r="CM684"/>
      <c r="CN684"/>
      <c r="CO684"/>
    </row>
    <row r="685" spans="81:93" ht="15" customHeight="1">
      <c r="CC685"/>
      <c r="CD685"/>
      <c r="CE685"/>
      <c r="CF685"/>
      <c r="CG685"/>
      <c r="CH685"/>
      <c r="CI685"/>
      <c r="CJ685"/>
      <c r="CK685"/>
      <c r="CL685"/>
      <c r="CM685"/>
      <c r="CN685"/>
      <c r="CO685"/>
    </row>
    <row r="686" spans="81:93" ht="15" customHeight="1">
      <c r="CC686"/>
      <c r="CD686"/>
      <c r="CE686"/>
      <c r="CF686"/>
      <c r="CG686"/>
      <c r="CH686"/>
      <c r="CI686"/>
      <c r="CJ686"/>
      <c r="CK686"/>
      <c r="CL686"/>
      <c r="CM686"/>
      <c r="CN686"/>
      <c r="CO686"/>
    </row>
    <row r="687" spans="81:93" ht="15" customHeight="1">
      <c r="CC687"/>
      <c r="CD687"/>
      <c r="CE687"/>
      <c r="CF687"/>
      <c r="CG687"/>
      <c r="CH687"/>
      <c r="CI687"/>
      <c r="CJ687"/>
      <c r="CK687"/>
      <c r="CL687"/>
      <c r="CM687"/>
      <c r="CN687"/>
      <c r="CO687"/>
    </row>
    <row r="688" spans="81:93" ht="15" customHeight="1">
      <c r="CC688"/>
      <c r="CD688"/>
      <c r="CE688"/>
      <c r="CF688"/>
      <c r="CG688"/>
      <c r="CH688"/>
      <c r="CI688"/>
      <c r="CJ688"/>
      <c r="CK688"/>
      <c r="CL688"/>
      <c r="CM688"/>
      <c r="CN688"/>
      <c r="CO688"/>
    </row>
    <row r="689" spans="81:93" ht="15" customHeight="1">
      <c r="CC689"/>
      <c r="CD689"/>
      <c r="CE689"/>
      <c r="CF689"/>
      <c r="CG689"/>
      <c r="CH689"/>
      <c r="CI689"/>
      <c r="CJ689"/>
      <c r="CK689"/>
      <c r="CL689"/>
      <c r="CM689"/>
      <c r="CN689"/>
      <c r="CO689"/>
    </row>
    <row r="690" spans="81:93" ht="15" customHeight="1">
      <c r="CC690"/>
      <c r="CD690"/>
      <c r="CE690"/>
      <c r="CF690"/>
      <c r="CG690"/>
      <c r="CH690"/>
      <c r="CI690"/>
      <c r="CJ690"/>
      <c r="CK690"/>
      <c r="CL690"/>
      <c r="CM690"/>
      <c r="CN690"/>
      <c r="CO690"/>
    </row>
    <row r="691" spans="81:93" ht="15" customHeight="1">
      <c r="CC691"/>
      <c r="CD691"/>
      <c r="CE691"/>
      <c r="CF691"/>
      <c r="CG691"/>
      <c r="CH691"/>
      <c r="CI691"/>
      <c r="CJ691"/>
      <c r="CK691"/>
      <c r="CL691"/>
      <c r="CM691"/>
      <c r="CN691"/>
      <c r="CO691"/>
    </row>
    <row r="692" spans="81:93" ht="15" customHeight="1">
      <c r="CC692"/>
      <c r="CD692"/>
      <c r="CE692"/>
      <c r="CF692"/>
      <c r="CG692"/>
      <c r="CH692"/>
      <c r="CI692"/>
      <c r="CJ692"/>
      <c r="CK692"/>
      <c r="CL692"/>
      <c r="CM692"/>
      <c r="CN692"/>
      <c r="CO692"/>
    </row>
    <row r="693" spans="81:93" ht="15" customHeight="1">
      <c r="CC693"/>
      <c r="CD693"/>
      <c r="CE693"/>
      <c r="CF693"/>
      <c r="CG693"/>
      <c r="CH693"/>
      <c r="CI693"/>
      <c r="CJ693"/>
      <c r="CK693"/>
      <c r="CL693"/>
      <c r="CM693"/>
      <c r="CN693"/>
      <c r="CO693"/>
    </row>
    <row r="694" spans="81:93" ht="15" customHeight="1">
      <c r="CC694"/>
      <c r="CD694"/>
      <c r="CE694"/>
      <c r="CF694"/>
      <c r="CG694"/>
      <c r="CH694"/>
      <c r="CI694"/>
      <c r="CJ694"/>
      <c r="CK694"/>
      <c r="CL694"/>
      <c r="CM694"/>
      <c r="CN694"/>
      <c r="CO694"/>
    </row>
    <row r="695" spans="81:93" ht="15" customHeight="1">
      <c r="CC695"/>
      <c r="CD695"/>
      <c r="CE695"/>
      <c r="CF695"/>
      <c r="CG695"/>
      <c r="CH695"/>
      <c r="CI695"/>
      <c r="CJ695"/>
      <c r="CK695"/>
      <c r="CL695"/>
      <c r="CM695"/>
      <c r="CN695"/>
      <c r="CO695"/>
    </row>
    <row r="696" spans="81:93" ht="15" customHeight="1">
      <c r="CC696"/>
      <c r="CD696"/>
      <c r="CE696"/>
      <c r="CF696"/>
      <c r="CG696"/>
      <c r="CH696"/>
      <c r="CI696"/>
      <c r="CJ696"/>
      <c r="CK696"/>
      <c r="CL696"/>
      <c r="CM696"/>
      <c r="CN696"/>
      <c r="CO696"/>
    </row>
    <row r="697" spans="81:93" ht="15" customHeight="1">
      <c r="CC697"/>
      <c r="CD697"/>
      <c r="CE697"/>
      <c r="CF697"/>
      <c r="CG697"/>
      <c r="CH697"/>
      <c r="CI697"/>
      <c r="CJ697"/>
      <c r="CK697"/>
      <c r="CL697"/>
      <c r="CM697"/>
      <c r="CN697"/>
      <c r="CO697"/>
    </row>
    <row r="698" spans="81:93" ht="15" customHeight="1">
      <c r="CC698"/>
      <c r="CD698"/>
      <c r="CE698"/>
      <c r="CF698"/>
      <c r="CG698"/>
      <c r="CH698"/>
      <c r="CI698"/>
      <c r="CJ698"/>
      <c r="CK698"/>
      <c r="CL698"/>
      <c r="CM698"/>
      <c r="CN698"/>
      <c r="CO698"/>
    </row>
    <row r="699" spans="81:93" ht="15" customHeight="1">
      <c r="CC699"/>
      <c r="CD699"/>
      <c r="CE699"/>
      <c r="CF699"/>
      <c r="CG699"/>
      <c r="CH699"/>
      <c r="CI699"/>
      <c r="CJ699"/>
      <c r="CK699"/>
      <c r="CL699"/>
      <c r="CM699"/>
      <c r="CN699"/>
      <c r="CO699"/>
    </row>
    <row r="700" spans="81:93" ht="15" customHeight="1">
      <c r="CC700"/>
      <c r="CD700"/>
      <c r="CE700"/>
      <c r="CF700"/>
      <c r="CG700"/>
      <c r="CH700"/>
      <c r="CI700"/>
      <c r="CJ700"/>
      <c r="CK700"/>
      <c r="CL700"/>
      <c r="CM700"/>
      <c r="CN700"/>
      <c r="CO700"/>
    </row>
    <row r="701" spans="81:93" ht="15" customHeight="1">
      <c r="CC701"/>
      <c r="CD701"/>
      <c r="CE701"/>
      <c r="CF701"/>
      <c r="CG701"/>
      <c r="CH701"/>
      <c r="CI701"/>
      <c r="CJ701"/>
      <c r="CK701"/>
      <c r="CL701"/>
      <c r="CM701"/>
      <c r="CN701"/>
      <c r="CO701"/>
    </row>
    <row r="702" spans="81:93" ht="15" customHeight="1">
      <c r="CC702"/>
      <c r="CD702"/>
      <c r="CE702"/>
      <c r="CF702"/>
      <c r="CG702"/>
      <c r="CH702"/>
      <c r="CI702"/>
      <c r="CJ702"/>
      <c r="CK702"/>
      <c r="CL702"/>
      <c r="CM702"/>
      <c r="CN702"/>
      <c r="CO702"/>
    </row>
    <row r="703" spans="81:93" ht="15" customHeight="1">
      <c r="CC703"/>
      <c r="CD703"/>
      <c r="CE703"/>
      <c r="CF703"/>
      <c r="CG703"/>
      <c r="CH703"/>
      <c r="CI703"/>
      <c r="CJ703"/>
      <c r="CK703"/>
      <c r="CL703"/>
      <c r="CM703"/>
      <c r="CN703"/>
      <c r="CO703"/>
    </row>
    <row r="704" spans="81:93" ht="15" customHeight="1">
      <c r="CC704"/>
      <c r="CD704"/>
      <c r="CE704"/>
      <c r="CF704"/>
      <c r="CG704"/>
      <c r="CH704"/>
      <c r="CI704"/>
      <c r="CJ704"/>
      <c r="CK704"/>
      <c r="CL704"/>
      <c r="CM704"/>
      <c r="CN704"/>
      <c r="CO704"/>
    </row>
    <row r="705" spans="81:93" ht="15" customHeight="1">
      <c r="CC705"/>
      <c r="CD705"/>
      <c r="CE705"/>
      <c r="CF705"/>
      <c r="CG705"/>
      <c r="CH705"/>
      <c r="CI705"/>
      <c r="CJ705"/>
      <c r="CK705"/>
      <c r="CL705"/>
      <c r="CM705"/>
      <c r="CN705"/>
      <c r="CO705"/>
    </row>
    <row r="706" spans="81:93" ht="15" customHeight="1">
      <c r="CC706"/>
      <c r="CD706"/>
      <c r="CE706"/>
      <c r="CF706"/>
      <c r="CG706"/>
      <c r="CH706"/>
      <c r="CI706"/>
      <c r="CJ706"/>
      <c r="CK706"/>
      <c r="CL706"/>
      <c r="CM706"/>
      <c r="CN706"/>
      <c r="CO706"/>
    </row>
    <row r="707" spans="81:93" ht="15" customHeight="1">
      <c r="CC707"/>
      <c r="CD707"/>
      <c r="CE707"/>
      <c r="CF707"/>
      <c r="CG707"/>
      <c r="CH707"/>
      <c r="CI707"/>
      <c r="CJ707"/>
      <c r="CK707"/>
      <c r="CL707"/>
      <c r="CM707"/>
      <c r="CN707"/>
      <c r="CO707"/>
    </row>
    <row r="708" spans="81:93" ht="15" customHeight="1">
      <c r="CC708"/>
      <c r="CD708"/>
      <c r="CE708"/>
      <c r="CF708"/>
      <c r="CG708"/>
      <c r="CH708"/>
      <c r="CI708"/>
      <c r="CJ708"/>
      <c r="CK708"/>
      <c r="CL708"/>
      <c r="CM708"/>
      <c r="CN708"/>
      <c r="CO708"/>
    </row>
    <row r="709" spans="81:93" ht="15" customHeight="1">
      <c r="CC709"/>
      <c r="CD709"/>
      <c r="CE709"/>
      <c r="CF709"/>
      <c r="CG709"/>
      <c r="CH709"/>
      <c r="CI709"/>
      <c r="CJ709"/>
      <c r="CK709"/>
      <c r="CL709"/>
      <c r="CM709"/>
      <c r="CN709"/>
      <c r="CO709"/>
    </row>
    <row r="710" spans="81:93" ht="15" customHeight="1">
      <c r="CC710"/>
      <c r="CD710"/>
      <c r="CE710"/>
      <c r="CF710"/>
      <c r="CG710"/>
      <c r="CH710"/>
      <c r="CI710"/>
      <c r="CJ710"/>
      <c r="CK710"/>
      <c r="CL710"/>
      <c r="CM710"/>
      <c r="CN710"/>
      <c r="CO710"/>
    </row>
    <row r="711" spans="81:93" ht="15" customHeight="1">
      <c r="CC711"/>
      <c r="CD711"/>
      <c r="CE711"/>
      <c r="CF711"/>
      <c r="CG711"/>
      <c r="CH711"/>
      <c r="CI711"/>
      <c r="CJ711"/>
      <c r="CK711"/>
      <c r="CL711"/>
      <c r="CM711"/>
      <c r="CN711"/>
      <c r="CO711"/>
    </row>
    <row r="712" spans="81:93" ht="15" customHeight="1">
      <c r="CC712"/>
      <c r="CD712"/>
      <c r="CE712"/>
      <c r="CF712"/>
      <c r="CG712"/>
      <c r="CH712"/>
      <c r="CI712"/>
      <c r="CJ712"/>
      <c r="CK712"/>
      <c r="CL712"/>
      <c r="CM712"/>
      <c r="CN712"/>
      <c r="CO712"/>
    </row>
    <row r="713" spans="81:93" ht="15" customHeight="1">
      <c r="CC713"/>
      <c r="CD713"/>
      <c r="CE713"/>
      <c r="CF713"/>
      <c r="CG713"/>
      <c r="CH713"/>
      <c r="CI713"/>
      <c r="CJ713"/>
      <c r="CK713"/>
      <c r="CL713"/>
      <c r="CM713"/>
      <c r="CN713"/>
      <c r="CO713"/>
    </row>
    <row r="714" spans="81:93" ht="15" customHeight="1">
      <c r="CC714"/>
      <c r="CD714"/>
      <c r="CE714"/>
      <c r="CF714"/>
      <c r="CG714"/>
      <c r="CH714"/>
      <c r="CI714"/>
      <c r="CJ714"/>
      <c r="CK714"/>
      <c r="CL714"/>
      <c r="CM714"/>
      <c r="CN714"/>
      <c r="CO714"/>
    </row>
    <row r="715" spans="81:93" ht="15" customHeight="1">
      <c r="CC715"/>
      <c r="CD715"/>
      <c r="CE715"/>
      <c r="CF715"/>
      <c r="CG715"/>
      <c r="CH715"/>
      <c r="CI715"/>
      <c r="CJ715"/>
      <c r="CK715"/>
      <c r="CL715"/>
      <c r="CM715"/>
      <c r="CN715"/>
      <c r="CO715"/>
    </row>
    <row r="716" spans="81:93" ht="15" customHeight="1">
      <c r="CC716"/>
      <c r="CD716"/>
      <c r="CE716"/>
      <c r="CF716"/>
      <c r="CG716"/>
      <c r="CH716"/>
      <c r="CI716"/>
      <c r="CJ716"/>
      <c r="CK716"/>
      <c r="CL716"/>
      <c r="CM716"/>
      <c r="CN716"/>
      <c r="CO716"/>
    </row>
    <row r="717" spans="81:93" ht="15" customHeight="1">
      <c r="CC717"/>
      <c r="CD717"/>
      <c r="CE717"/>
      <c r="CF717"/>
      <c r="CG717"/>
      <c r="CH717"/>
      <c r="CI717"/>
      <c r="CJ717"/>
      <c r="CK717"/>
      <c r="CL717"/>
      <c r="CM717"/>
      <c r="CN717"/>
      <c r="CO717"/>
    </row>
    <row r="718" spans="81:93" ht="15" customHeight="1">
      <c r="CC718"/>
      <c r="CD718"/>
      <c r="CE718"/>
      <c r="CF718"/>
      <c r="CG718"/>
      <c r="CH718"/>
      <c r="CI718"/>
      <c r="CJ718"/>
      <c r="CK718"/>
      <c r="CL718"/>
      <c r="CM718"/>
      <c r="CN718"/>
      <c r="CO718"/>
    </row>
    <row r="719" spans="81:93" ht="15" customHeight="1">
      <c r="CC719"/>
      <c r="CD719"/>
      <c r="CE719"/>
      <c r="CF719"/>
      <c r="CG719"/>
      <c r="CH719"/>
      <c r="CI719"/>
      <c r="CJ719"/>
      <c r="CK719"/>
      <c r="CL719"/>
      <c r="CM719"/>
      <c r="CN719"/>
      <c r="CO719"/>
    </row>
    <row r="720" spans="81:93" ht="15" customHeight="1">
      <c r="CC720"/>
      <c r="CD720"/>
      <c r="CE720"/>
      <c r="CF720"/>
      <c r="CG720"/>
      <c r="CH720"/>
      <c r="CI720"/>
      <c r="CJ720"/>
      <c r="CK720"/>
      <c r="CL720"/>
      <c r="CM720"/>
      <c r="CN720"/>
      <c r="CO720"/>
    </row>
    <row r="721" spans="81:93" ht="15" customHeight="1">
      <c r="CC721"/>
      <c r="CD721"/>
      <c r="CE721"/>
      <c r="CF721"/>
      <c r="CG721"/>
      <c r="CH721"/>
      <c r="CI721"/>
      <c r="CJ721"/>
      <c r="CK721"/>
      <c r="CL721"/>
      <c r="CM721"/>
      <c r="CN721"/>
      <c r="CO721"/>
    </row>
    <row r="722" spans="81:93" ht="15" customHeight="1">
      <c r="CC722"/>
      <c r="CD722"/>
      <c r="CE722"/>
      <c r="CF722"/>
      <c r="CG722"/>
      <c r="CH722"/>
      <c r="CI722"/>
      <c r="CJ722"/>
      <c r="CK722"/>
      <c r="CL722"/>
      <c r="CM722"/>
      <c r="CN722"/>
      <c r="CO722"/>
    </row>
    <row r="723" spans="81:93" ht="15" customHeight="1">
      <c r="CC723"/>
      <c r="CD723"/>
      <c r="CE723"/>
      <c r="CF723"/>
      <c r="CG723"/>
      <c r="CH723"/>
      <c r="CI723"/>
      <c r="CJ723"/>
      <c r="CK723"/>
      <c r="CL723"/>
      <c r="CM723"/>
      <c r="CN723"/>
      <c r="CO723"/>
    </row>
    <row r="724" spans="81:93" ht="15" customHeight="1">
      <c r="CC724"/>
      <c r="CD724"/>
      <c r="CE724"/>
      <c r="CF724"/>
      <c r="CG724"/>
      <c r="CH724"/>
      <c r="CI724"/>
      <c r="CJ724"/>
      <c r="CK724"/>
      <c r="CL724"/>
      <c r="CM724"/>
      <c r="CN724"/>
      <c r="CO724"/>
    </row>
    <row r="725" spans="81:93" ht="15" customHeight="1">
      <c r="CC725"/>
      <c r="CD725"/>
      <c r="CE725"/>
      <c r="CF725"/>
      <c r="CG725"/>
      <c r="CH725"/>
      <c r="CI725"/>
      <c r="CJ725"/>
      <c r="CK725"/>
      <c r="CL725"/>
      <c r="CM725"/>
      <c r="CN725"/>
      <c r="CO725"/>
    </row>
    <row r="726" spans="81:93" ht="15" customHeight="1">
      <c r="CC726"/>
      <c r="CD726"/>
      <c r="CE726"/>
      <c r="CF726"/>
      <c r="CG726"/>
      <c r="CH726"/>
      <c r="CI726"/>
      <c r="CJ726"/>
      <c r="CK726"/>
      <c r="CL726"/>
      <c r="CM726"/>
      <c r="CN726"/>
      <c r="CO726"/>
    </row>
    <row r="727" spans="81:93" ht="15" customHeight="1">
      <c r="CC727"/>
      <c r="CD727"/>
      <c r="CE727"/>
      <c r="CF727"/>
      <c r="CG727"/>
      <c r="CH727"/>
      <c r="CI727"/>
      <c r="CJ727"/>
      <c r="CK727"/>
      <c r="CL727"/>
      <c r="CM727"/>
      <c r="CN727"/>
      <c r="CO727"/>
    </row>
    <row r="728" spans="81:93" ht="15" customHeight="1">
      <c r="CC728"/>
      <c r="CD728"/>
      <c r="CE728"/>
      <c r="CF728"/>
      <c r="CG728"/>
      <c r="CH728"/>
      <c r="CI728"/>
      <c r="CJ728"/>
      <c r="CK728"/>
      <c r="CL728"/>
      <c r="CM728"/>
      <c r="CN728"/>
      <c r="CO728"/>
    </row>
    <row r="729" spans="81:93" ht="15" customHeight="1">
      <c r="CC729"/>
      <c r="CD729"/>
      <c r="CE729"/>
      <c r="CF729"/>
      <c r="CG729"/>
      <c r="CH729"/>
      <c r="CI729"/>
      <c r="CJ729"/>
      <c r="CK729"/>
      <c r="CL729"/>
      <c r="CM729"/>
      <c r="CN729"/>
      <c r="CO729"/>
    </row>
    <row r="730" spans="81:93" ht="15" customHeight="1">
      <c r="CC730"/>
      <c r="CD730"/>
      <c r="CE730"/>
      <c r="CF730"/>
      <c r="CG730"/>
      <c r="CH730"/>
      <c r="CI730"/>
      <c r="CJ730"/>
      <c r="CK730"/>
      <c r="CL730"/>
      <c r="CM730"/>
      <c r="CN730"/>
      <c r="CO730"/>
    </row>
    <row r="731" spans="81:93" ht="15" customHeight="1">
      <c r="CC731"/>
      <c r="CD731"/>
      <c r="CE731"/>
      <c r="CF731"/>
      <c r="CG731"/>
      <c r="CH731"/>
      <c r="CI731"/>
      <c r="CJ731"/>
      <c r="CK731"/>
      <c r="CL731"/>
      <c r="CM731"/>
      <c r="CN731"/>
      <c r="CO731"/>
    </row>
    <row r="732" spans="81:93" ht="15" customHeight="1">
      <c r="CC732"/>
      <c r="CD732"/>
      <c r="CE732"/>
      <c r="CF732"/>
      <c r="CG732"/>
      <c r="CH732"/>
      <c r="CI732"/>
      <c r="CJ732"/>
      <c r="CK732"/>
      <c r="CL732"/>
      <c r="CM732"/>
      <c r="CN732"/>
      <c r="CO732"/>
    </row>
    <row r="733" spans="81:93" ht="15" customHeight="1">
      <c r="CC733"/>
      <c r="CD733"/>
      <c r="CE733"/>
      <c r="CF733"/>
      <c r="CG733"/>
      <c r="CH733"/>
      <c r="CI733"/>
      <c r="CJ733"/>
      <c r="CK733"/>
      <c r="CL733"/>
      <c r="CM733"/>
      <c r="CN733"/>
      <c r="CO733"/>
    </row>
    <row r="734" spans="81:93" ht="15" customHeight="1">
      <c r="CC734"/>
      <c r="CD734"/>
      <c r="CE734"/>
      <c r="CF734"/>
      <c r="CG734"/>
      <c r="CH734"/>
      <c r="CI734"/>
      <c r="CJ734"/>
      <c r="CK734"/>
      <c r="CL734"/>
      <c r="CM734"/>
      <c r="CN734"/>
      <c r="CO734"/>
    </row>
    <row r="735" spans="81:93" ht="15" customHeight="1">
      <c r="CC735"/>
      <c r="CD735"/>
      <c r="CE735"/>
      <c r="CF735"/>
      <c r="CG735"/>
      <c r="CH735"/>
      <c r="CI735"/>
      <c r="CJ735"/>
      <c r="CK735"/>
      <c r="CL735"/>
      <c r="CM735"/>
      <c r="CN735"/>
      <c r="CO735"/>
    </row>
    <row r="736" spans="81:93" ht="15" customHeight="1">
      <c r="CC736"/>
      <c r="CD736"/>
      <c r="CE736"/>
      <c r="CF736"/>
      <c r="CG736"/>
      <c r="CH736"/>
      <c r="CI736"/>
      <c r="CJ736"/>
      <c r="CK736"/>
      <c r="CL736"/>
      <c r="CM736"/>
      <c r="CN736"/>
      <c r="CO736"/>
    </row>
    <row r="737" spans="81:93" ht="15" customHeight="1">
      <c r="CC737"/>
      <c r="CD737"/>
      <c r="CE737"/>
      <c r="CF737"/>
      <c r="CG737"/>
      <c r="CH737"/>
      <c r="CI737"/>
      <c r="CJ737"/>
      <c r="CK737"/>
      <c r="CL737"/>
      <c r="CM737"/>
      <c r="CN737"/>
      <c r="CO737"/>
    </row>
    <row r="738" spans="81:93" ht="15" customHeight="1">
      <c r="CC738"/>
      <c r="CD738"/>
      <c r="CE738"/>
      <c r="CF738"/>
      <c r="CG738"/>
      <c r="CH738"/>
      <c r="CI738"/>
      <c r="CJ738"/>
      <c r="CK738"/>
      <c r="CL738"/>
      <c r="CM738"/>
      <c r="CN738"/>
      <c r="CO738"/>
    </row>
    <row r="739" spans="81:93" ht="15" customHeight="1">
      <c r="CC739"/>
      <c r="CD739"/>
      <c r="CE739"/>
      <c r="CF739"/>
      <c r="CG739"/>
      <c r="CH739"/>
      <c r="CI739"/>
      <c r="CJ739"/>
      <c r="CK739"/>
      <c r="CL739"/>
      <c r="CM739"/>
      <c r="CN739"/>
      <c r="CO739"/>
    </row>
    <row r="740" spans="81:93" ht="15" customHeight="1">
      <c r="CC740"/>
      <c r="CD740"/>
      <c r="CE740"/>
      <c r="CF740"/>
      <c r="CG740"/>
      <c r="CH740"/>
      <c r="CI740"/>
      <c r="CJ740"/>
      <c r="CK740"/>
      <c r="CL740"/>
      <c r="CM740"/>
      <c r="CN740"/>
      <c r="CO740"/>
    </row>
    <row r="741" spans="81:93" ht="15" customHeight="1">
      <c r="CC741"/>
      <c r="CD741"/>
      <c r="CE741"/>
      <c r="CF741"/>
      <c r="CG741"/>
      <c r="CH741"/>
      <c r="CI741"/>
      <c r="CJ741"/>
      <c r="CK741"/>
      <c r="CL741"/>
      <c r="CM741"/>
      <c r="CN741"/>
      <c r="CO741"/>
    </row>
    <row r="742" spans="81:93" ht="15" customHeight="1">
      <c r="CC742"/>
      <c r="CD742"/>
      <c r="CE742"/>
      <c r="CF742"/>
      <c r="CG742"/>
      <c r="CH742"/>
      <c r="CI742"/>
      <c r="CJ742"/>
      <c r="CK742"/>
      <c r="CL742"/>
      <c r="CM742"/>
      <c r="CN742"/>
      <c r="CO742"/>
    </row>
    <row r="743" spans="81:93" ht="15" customHeight="1">
      <c r="CC743"/>
      <c r="CD743"/>
      <c r="CE743"/>
      <c r="CF743"/>
      <c r="CG743"/>
      <c r="CH743"/>
      <c r="CI743"/>
      <c r="CJ743"/>
      <c r="CK743"/>
      <c r="CL743"/>
      <c r="CM743"/>
      <c r="CN743"/>
      <c r="CO743"/>
    </row>
    <row r="744" spans="81:93" ht="15" customHeight="1">
      <c r="CC744"/>
      <c r="CD744"/>
      <c r="CE744"/>
      <c r="CF744"/>
      <c r="CG744"/>
      <c r="CH744"/>
      <c r="CI744"/>
      <c r="CJ744"/>
      <c r="CK744"/>
      <c r="CL744"/>
      <c r="CM744"/>
      <c r="CN744"/>
      <c r="CO744"/>
    </row>
    <row r="745" spans="81:93" ht="15" customHeight="1">
      <c r="CC745"/>
      <c r="CD745"/>
      <c r="CE745"/>
      <c r="CF745"/>
      <c r="CG745"/>
      <c r="CH745"/>
      <c r="CI745"/>
      <c r="CJ745"/>
      <c r="CK745"/>
      <c r="CL745"/>
      <c r="CM745"/>
      <c r="CN745"/>
      <c r="CO745"/>
    </row>
    <row r="746" spans="81:93" ht="15" customHeight="1">
      <c r="CC746"/>
      <c r="CD746"/>
      <c r="CE746"/>
      <c r="CF746"/>
      <c r="CG746"/>
      <c r="CH746"/>
      <c r="CI746"/>
      <c r="CJ746"/>
      <c r="CK746"/>
      <c r="CL746"/>
      <c r="CM746"/>
      <c r="CN746"/>
      <c r="CO746"/>
    </row>
    <row r="747" spans="81:93" ht="15" customHeight="1">
      <c r="CC747"/>
      <c r="CD747"/>
      <c r="CE747"/>
      <c r="CF747"/>
      <c r="CG747"/>
      <c r="CH747"/>
      <c r="CI747"/>
      <c r="CJ747"/>
      <c r="CK747"/>
      <c r="CL747"/>
      <c r="CM747"/>
      <c r="CN747"/>
      <c r="CO747"/>
    </row>
    <row r="748" spans="81:93" ht="15" customHeight="1">
      <c r="CC748"/>
      <c r="CD748"/>
      <c r="CE748"/>
      <c r="CF748"/>
      <c r="CG748"/>
      <c r="CH748"/>
      <c r="CI748"/>
      <c r="CJ748"/>
      <c r="CK748"/>
      <c r="CL748"/>
      <c r="CM748"/>
      <c r="CN748"/>
      <c r="CO748"/>
    </row>
    <row r="749" spans="81:93" ht="15" customHeight="1">
      <c r="CC749"/>
      <c r="CD749"/>
      <c r="CE749"/>
      <c r="CF749"/>
      <c r="CG749"/>
      <c r="CH749"/>
      <c r="CI749"/>
      <c r="CJ749"/>
      <c r="CK749"/>
      <c r="CL749"/>
      <c r="CM749"/>
      <c r="CN749"/>
      <c r="CO749"/>
    </row>
    <row r="750" spans="81:93" ht="15" customHeight="1">
      <c r="CC750"/>
      <c r="CD750"/>
      <c r="CE750"/>
      <c r="CF750"/>
      <c r="CG750"/>
      <c r="CH750"/>
      <c r="CI750"/>
      <c r="CJ750"/>
      <c r="CK750"/>
      <c r="CL750"/>
      <c r="CM750"/>
      <c r="CN750"/>
      <c r="CO750"/>
    </row>
    <row r="751" spans="81:93" ht="15" customHeight="1">
      <c r="CC751"/>
      <c r="CD751"/>
      <c r="CE751"/>
      <c r="CF751"/>
      <c r="CG751"/>
      <c r="CH751"/>
      <c r="CI751"/>
      <c r="CJ751"/>
      <c r="CK751"/>
      <c r="CL751"/>
      <c r="CM751"/>
      <c r="CN751"/>
      <c r="CO751"/>
    </row>
    <row r="752" spans="81:93" ht="15" customHeight="1">
      <c r="CC752"/>
      <c r="CD752"/>
      <c r="CE752"/>
      <c r="CF752"/>
      <c r="CG752"/>
      <c r="CH752"/>
      <c r="CI752"/>
      <c r="CJ752"/>
      <c r="CK752"/>
      <c r="CL752"/>
      <c r="CM752"/>
      <c r="CN752"/>
      <c r="CO752"/>
    </row>
    <row r="753" spans="81:93" ht="15" customHeight="1">
      <c r="CC753"/>
      <c r="CD753"/>
      <c r="CE753"/>
      <c r="CF753"/>
      <c r="CG753"/>
      <c r="CH753"/>
      <c r="CI753"/>
      <c r="CJ753"/>
      <c r="CK753"/>
      <c r="CL753"/>
      <c r="CM753"/>
      <c r="CN753"/>
      <c r="CO753"/>
    </row>
    <row r="754" spans="81:93" ht="15" customHeight="1">
      <c r="CC754"/>
      <c r="CD754"/>
      <c r="CE754"/>
      <c r="CF754"/>
      <c r="CG754"/>
      <c r="CH754"/>
      <c r="CI754"/>
      <c r="CJ754"/>
      <c r="CK754"/>
      <c r="CL754"/>
      <c r="CM754"/>
      <c r="CN754"/>
      <c r="CO754"/>
    </row>
    <row r="755" spans="81:93" ht="15" customHeight="1">
      <c r="CC755"/>
      <c r="CD755"/>
      <c r="CE755"/>
      <c r="CF755"/>
      <c r="CG755"/>
      <c r="CH755"/>
      <c r="CI755"/>
      <c r="CJ755"/>
      <c r="CK755"/>
      <c r="CL755"/>
      <c r="CM755"/>
      <c r="CN755"/>
      <c r="CO755"/>
    </row>
    <row r="756" spans="81:93" ht="15" customHeight="1">
      <c r="CC756"/>
      <c r="CD756"/>
      <c r="CE756"/>
      <c r="CF756"/>
      <c r="CG756"/>
      <c r="CH756"/>
      <c r="CI756"/>
      <c r="CJ756"/>
      <c r="CK756"/>
      <c r="CL756"/>
      <c r="CM756"/>
      <c r="CN756"/>
      <c r="CO756"/>
    </row>
    <row r="757" spans="81:93" ht="15" customHeight="1">
      <c r="CC757"/>
      <c r="CD757"/>
      <c r="CE757"/>
      <c r="CF757"/>
      <c r="CG757"/>
      <c r="CH757"/>
      <c r="CI757"/>
      <c r="CJ757"/>
      <c r="CK757"/>
      <c r="CL757"/>
      <c r="CM757"/>
      <c r="CN757"/>
      <c r="CO757"/>
    </row>
    <row r="758" spans="81:93" ht="15" customHeight="1">
      <c r="CC758"/>
      <c r="CD758"/>
      <c r="CE758"/>
      <c r="CF758"/>
      <c r="CG758"/>
      <c r="CH758"/>
      <c r="CI758"/>
      <c r="CJ758"/>
      <c r="CK758"/>
      <c r="CL758"/>
      <c r="CM758"/>
      <c r="CN758"/>
      <c r="CO758"/>
    </row>
    <row r="759" spans="81:93" ht="15" customHeight="1">
      <c r="CC759"/>
      <c r="CD759"/>
      <c r="CE759"/>
      <c r="CF759"/>
      <c r="CG759"/>
      <c r="CH759"/>
      <c r="CI759"/>
      <c r="CJ759"/>
      <c r="CK759"/>
      <c r="CL759"/>
      <c r="CM759"/>
      <c r="CN759"/>
      <c r="CO759"/>
    </row>
    <row r="760" spans="81:93" ht="15" customHeight="1">
      <c r="CC760"/>
      <c r="CD760"/>
      <c r="CE760"/>
      <c r="CF760"/>
      <c r="CG760"/>
      <c r="CH760"/>
      <c r="CI760"/>
      <c r="CJ760"/>
      <c r="CK760"/>
      <c r="CL760"/>
      <c r="CM760"/>
      <c r="CN760"/>
      <c r="CO760"/>
    </row>
    <row r="761" spans="81:93" ht="15" customHeight="1">
      <c r="CC761"/>
      <c r="CD761"/>
      <c r="CE761"/>
      <c r="CF761"/>
      <c r="CG761"/>
      <c r="CH761"/>
      <c r="CI761"/>
      <c r="CJ761"/>
      <c r="CK761"/>
      <c r="CL761"/>
      <c r="CM761"/>
      <c r="CN761"/>
      <c r="CO761"/>
    </row>
    <row r="762" spans="81:93" ht="15" customHeight="1">
      <c r="CC762"/>
      <c r="CD762"/>
      <c r="CE762"/>
      <c r="CF762"/>
      <c r="CG762"/>
      <c r="CH762"/>
      <c r="CI762"/>
      <c r="CJ762"/>
      <c r="CK762"/>
      <c r="CL762"/>
      <c r="CM762"/>
      <c r="CN762"/>
      <c r="CO762"/>
    </row>
    <row r="763" spans="81:93" ht="15" customHeight="1">
      <c r="CC763"/>
      <c r="CD763"/>
      <c r="CE763"/>
      <c r="CF763"/>
      <c r="CG763"/>
      <c r="CH763"/>
      <c r="CI763"/>
      <c r="CJ763"/>
      <c r="CK763"/>
      <c r="CL763"/>
      <c r="CM763"/>
      <c r="CN763"/>
      <c r="CO763"/>
    </row>
    <row r="764" spans="81:93" ht="15" customHeight="1">
      <c r="CC764"/>
      <c r="CD764"/>
      <c r="CE764"/>
      <c r="CF764"/>
      <c r="CG764"/>
      <c r="CH764"/>
      <c r="CI764"/>
      <c r="CJ764"/>
      <c r="CK764"/>
      <c r="CL764"/>
      <c r="CM764"/>
      <c r="CN764"/>
      <c r="CO764"/>
    </row>
    <row r="765" spans="81:93" ht="15" customHeight="1">
      <c r="CC765"/>
      <c r="CD765"/>
      <c r="CE765"/>
      <c r="CF765"/>
      <c r="CG765"/>
      <c r="CH765"/>
      <c r="CI765"/>
      <c r="CJ765"/>
      <c r="CK765"/>
      <c r="CL765"/>
      <c r="CM765"/>
      <c r="CN765"/>
      <c r="CO765"/>
    </row>
    <row r="766" spans="81:93" ht="15" customHeight="1">
      <c r="CC766"/>
      <c r="CD766"/>
      <c r="CE766"/>
      <c r="CF766"/>
      <c r="CG766"/>
      <c r="CH766"/>
      <c r="CI766"/>
      <c r="CJ766"/>
      <c r="CK766"/>
      <c r="CL766"/>
      <c r="CM766"/>
      <c r="CN766"/>
      <c r="CO766"/>
    </row>
    <row r="767" spans="81:93" ht="15" customHeight="1">
      <c r="CC767"/>
      <c r="CD767"/>
      <c r="CE767"/>
      <c r="CF767"/>
      <c r="CG767"/>
      <c r="CH767"/>
      <c r="CI767"/>
      <c r="CJ767"/>
      <c r="CK767"/>
      <c r="CL767"/>
      <c r="CM767"/>
      <c r="CN767"/>
      <c r="CO767"/>
    </row>
    <row r="768" spans="81:93" ht="15" customHeight="1">
      <c r="CC768"/>
      <c r="CD768"/>
      <c r="CE768"/>
      <c r="CF768"/>
      <c r="CG768"/>
      <c r="CH768"/>
      <c r="CI768"/>
      <c r="CJ768"/>
      <c r="CK768"/>
      <c r="CL768"/>
      <c r="CM768"/>
      <c r="CN768"/>
      <c r="CO768"/>
    </row>
    <row r="769" spans="81:93" ht="15" customHeight="1">
      <c r="CC769"/>
      <c r="CD769"/>
      <c r="CE769"/>
      <c r="CF769"/>
      <c r="CG769"/>
      <c r="CH769"/>
      <c r="CI769"/>
      <c r="CJ769"/>
      <c r="CK769"/>
      <c r="CL769"/>
      <c r="CM769"/>
      <c r="CN769"/>
      <c r="CO769"/>
    </row>
    <row r="770" spans="81:93" ht="15" customHeight="1">
      <c r="CC770"/>
      <c r="CD770"/>
      <c r="CE770"/>
      <c r="CF770"/>
      <c r="CG770"/>
      <c r="CH770"/>
      <c r="CI770"/>
      <c r="CJ770"/>
      <c r="CK770"/>
      <c r="CL770"/>
      <c r="CM770"/>
      <c r="CN770"/>
      <c r="CO770"/>
    </row>
    <row r="771" spans="81:93" ht="15" customHeight="1">
      <c r="CC771"/>
      <c r="CD771"/>
      <c r="CE771"/>
      <c r="CF771"/>
      <c r="CG771"/>
      <c r="CH771"/>
      <c r="CI771"/>
      <c r="CJ771"/>
      <c r="CK771"/>
      <c r="CL771"/>
      <c r="CM771"/>
      <c r="CN771"/>
      <c r="CO771"/>
    </row>
    <row r="772" spans="81:93" ht="15" customHeight="1">
      <c r="CC772"/>
      <c r="CD772"/>
      <c r="CE772"/>
      <c r="CF772"/>
      <c r="CG772"/>
      <c r="CH772"/>
      <c r="CI772"/>
      <c r="CJ772"/>
      <c r="CK772"/>
      <c r="CL772"/>
      <c r="CM772"/>
      <c r="CN772"/>
      <c r="CO772"/>
    </row>
    <row r="773" spans="81:93" ht="15" customHeight="1">
      <c r="CC773"/>
      <c r="CD773"/>
      <c r="CE773"/>
      <c r="CF773"/>
      <c r="CG773"/>
      <c r="CH773"/>
      <c r="CI773"/>
      <c r="CJ773"/>
      <c r="CK773"/>
      <c r="CL773"/>
      <c r="CM773"/>
      <c r="CN773"/>
      <c r="CO773"/>
    </row>
    <row r="774" spans="81:93" ht="15" customHeight="1">
      <c r="CC774"/>
      <c r="CD774"/>
      <c r="CE774"/>
      <c r="CF774"/>
      <c r="CG774"/>
      <c r="CH774"/>
      <c r="CI774"/>
      <c r="CJ774"/>
      <c r="CK774"/>
      <c r="CL774"/>
      <c r="CM774"/>
      <c r="CN774"/>
      <c r="CO774"/>
    </row>
    <row r="775" spans="81:93" ht="15" customHeight="1">
      <c r="CC775"/>
      <c r="CD775"/>
      <c r="CE775"/>
      <c r="CF775"/>
      <c r="CG775"/>
      <c r="CH775"/>
      <c r="CI775"/>
      <c r="CJ775"/>
      <c r="CK775"/>
      <c r="CL775"/>
      <c r="CM775"/>
      <c r="CN775"/>
      <c r="CO775"/>
    </row>
    <row r="776" spans="81:93" ht="15" customHeight="1">
      <c r="CC776"/>
      <c r="CD776"/>
      <c r="CE776"/>
      <c r="CF776"/>
      <c r="CG776"/>
      <c r="CH776"/>
      <c r="CI776"/>
      <c r="CJ776"/>
      <c r="CK776"/>
      <c r="CL776"/>
      <c r="CM776"/>
      <c r="CN776"/>
      <c r="CO776"/>
    </row>
    <row r="777" spans="81:93" ht="15" customHeight="1">
      <c r="CC777"/>
      <c r="CD777"/>
      <c r="CE777"/>
      <c r="CF777"/>
      <c r="CG777"/>
      <c r="CH777"/>
      <c r="CI777"/>
      <c r="CJ777"/>
      <c r="CK777"/>
      <c r="CL777"/>
      <c r="CM777"/>
      <c r="CN777"/>
      <c r="CO777"/>
    </row>
    <row r="778" spans="81:93" ht="15" customHeight="1">
      <c r="CC778"/>
      <c r="CD778"/>
      <c r="CE778"/>
      <c r="CF778"/>
      <c r="CG778"/>
      <c r="CH778"/>
      <c r="CI778"/>
      <c r="CJ778"/>
      <c r="CK778"/>
      <c r="CL778"/>
      <c r="CM778"/>
      <c r="CN778"/>
      <c r="CO778"/>
    </row>
    <row r="779" spans="81:93" ht="15" customHeight="1">
      <c r="CC779"/>
      <c r="CD779"/>
      <c r="CE779"/>
      <c r="CF779"/>
      <c r="CG779"/>
      <c r="CH779"/>
      <c r="CI779"/>
      <c r="CJ779"/>
      <c r="CK779"/>
      <c r="CL779"/>
      <c r="CM779"/>
      <c r="CN779"/>
      <c r="CO779"/>
    </row>
    <row r="780" spans="81:93" ht="15" customHeight="1">
      <c r="CC780"/>
      <c r="CD780"/>
      <c r="CE780"/>
      <c r="CF780"/>
      <c r="CG780"/>
      <c r="CH780"/>
      <c r="CI780"/>
      <c r="CJ780"/>
      <c r="CK780"/>
      <c r="CL780"/>
      <c r="CM780"/>
      <c r="CN780"/>
      <c r="CO780"/>
    </row>
    <row r="781" spans="81:93" ht="15" customHeight="1">
      <c r="CC781"/>
      <c r="CD781"/>
      <c r="CE781"/>
      <c r="CF781"/>
      <c r="CG781"/>
      <c r="CH781"/>
      <c r="CI781"/>
      <c r="CJ781"/>
      <c r="CK781"/>
      <c r="CL781"/>
      <c r="CM781"/>
      <c r="CN781"/>
      <c r="CO781"/>
    </row>
    <row r="782" spans="81:93" ht="15" customHeight="1">
      <c r="CC782"/>
      <c r="CD782"/>
      <c r="CE782"/>
      <c r="CF782"/>
      <c r="CG782"/>
      <c r="CH782"/>
      <c r="CI782"/>
      <c r="CJ782"/>
      <c r="CK782"/>
      <c r="CL782"/>
      <c r="CM782"/>
      <c r="CN782"/>
      <c r="CO782"/>
    </row>
    <row r="783" spans="81:93" ht="15" customHeight="1">
      <c r="CC783"/>
      <c r="CD783"/>
      <c r="CE783"/>
      <c r="CF783"/>
      <c r="CG783"/>
      <c r="CH783"/>
      <c r="CI783"/>
      <c r="CJ783"/>
      <c r="CK783"/>
      <c r="CL783"/>
      <c r="CM783"/>
      <c r="CN783"/>
      <c r="CO783"/>
    </row>
    <row r="784" spans="81:93" ht="15" customHeight="1">
      <c r="CC784"/>
      <c r="CD784"/>
      <c r="CE784"/>
      <c r="CF784"/>
      <c r="CG784"/>
      <c r="CH784"/>
      <c r="CI784"/>
      <c r="CJ784"/>
      <c r="CK784"/>
      <c r="CL784"/>
      <c r="CM784"/>
      <c r="CN784"/>
      <c r="CO784"/>
    </row>
    <row r="785" spans="81:93" ht="15" customHeight="1">
      <c r="CC785"/>
      <c r="CD785"/>
      <c r="CE785"/>
      <c r="CF785"/>
      <c r="CG785"/>
      <c r="CH785"/>
      <c r="CI785"/>
      <c r="CJ785"/>
      <c r="CK785"/>
      <c r="CL785"/>
      <c r="CM785"/>
      <c r="CN785"/>
      <c r="CO785"/>
    </row>
    <row r="786" spans="81:93" ht="15" customHeight="1">
      <c r="CC786"/>
      <c r="CD786"/>
      <c r="CE786"/>
      <c r="CF786"/>
      <c r="CG786"/>
      <c r="CH786"/>
      <c r="CI786"/>
      <c r="CJ786"/>
      <c r="CK786"/>
      <c r="CL786"/>
      <c r="CM786"/>
      <c r="CN786"/>
      <c r="CO786"/>
    </row>
    <row r="787" spans="81:93" ht="15" customHeight="1">
      <c r="CC787"/>
      <c r="CD787"/>
      <c r="CE787"/>
      <c r="CF787"/>
      <c r="CG787"/>
      <c r="CH787"/>
      <c r="CI787"/>
      <c r="CJ787"/>
      <c r="CK787"/>
      <c r="CL787"/>
      <c r="CM787"/>
      <c r="CN787"/>
      <c r="CO787"/>
    </row>
    <row r="788" spans="81:93" ht="15" customHeight="1">
      <c r="CC788"/>
      <c r="CD788"/>
      <c r="CE788"/>
      <c r="CF788"/>
      <c r="CG788"/>
      <c r="CH788"/>
      <c r="CI788"/>
      <c r="CJ788"/>
      <c r="CK788"/>
      <c r="CL788"/>
      <c r="CM788"/>
      <c r="CN788"/>
      <c r="CO788"/>
    </row>
    <row r="789" spans="81:93" ht="15" customHeight="1">
      <c r="CC789"/>
      <c r="CD789"/>
      <c r="CE789"/>
      <c r="CF789"/>
      <c r="CG789"/>
      <c r="CH789"/>
      <c r="CI789"/>
      <c r="CJ789"/>
      <c r="CK789"/>
      <c r="CL789"/>
      <c r="CM789"/>
      <c r="CN789"/>
      <c r="CO789"/>
    </row>
    <row r="790" spans="81:93" ht="15" customHeight="1">
      <c r="CC790"/>
      <c r="CD790"/>
      <c r="CE790"/>
      <c r="CF790"/>
      <c r="CG790"/>
      <c r="CH790"/>
      <c r="CI790"/>
      <c r="CJ790"/>
      <c r="CK790"/>
      <c r="CL790"/>
      <c r="CM790"/>
      <c r="CN790"/>
      <c r="CO790"/>
    </row>
    <row r="791" spans="81:93" ht="15" customHeight="1">
      <c r="CC791"/>
      <c r="CD791"/>
      <c r="CE791"/>
      <c r="CF791"/>
      <c r="CG791"/>
      <c r="CH791"/>
      <c r="CI791"/>
      <c r="CJ791"/>
      <c r="CK791"/>
      <c r="CL791"/>
      <c r="CM791"/>
      <c r="CN791"/>
      <c r="CO791"/>
    </row>
    <row r="792" spans="81:93" ht="15" customHeight="1">
      <c r="CC792"/>
      <c r="CD792"/>
      <c r="CE792"/>
      <c r="CF792"/>
      <c r="CG792"/>
      <c r="CH792"/>
      <c r="CI792"/>
      <c r="CJ792"/>
      <c r="CK792"/>
      <c r="CL792"/>
      <c r="CM792"/>
      <c r="CN792"/>
      <c r="CO792"/>
    </row>
    <row r="793" spans="81:93" ht="15" customHeight="1">
      <c r="CC793"/>
      <c r="CD793"/>
      <c r="CE793"/>
      <c r="CF793"/>
      <c r="CG793"/>
      <c r="CH793"/>
      <c r="CI793"/>
      <c r="CJ793"/>
      <c r="CK793"/>
      <c r="CL793"/>
      <c r="CM793"/>
      <c r="CN793"/>
      <c r="CO793"/>
    </row>
    <row r="794" spans="81:93" ht="15" customHeight="1">
      <c r="CC794"/>
      <c r="CD794"/>
      <c r="CE794"/>
      <c r="CF794"/>
      <c r="CG794"/>
      <c r="CH794"/>
      <c r="CI794"/>
      <c r="CJ794"/>
      <c r="CK794"/>
      <c r="CL794"/>
      <c r="CM794"/>
      <c r="CN794"/>
      <c r="CO794"/>
    </row>
    <row r="795" spans="81:93" ht="15" customHeight="1">
      <c r="CC795"/>
      <c r="CD795"/>
      <c r="CE795"/>
      <c r="CF795"/>
      <c r="CG795"/>
      <c r="CH795"/>
      <c r="CI795"/>
      <c r="CJ795"/>
      <c r="CK795"/>
      <c r="CL795"/>
      <c r="CM795"/>
      <c r="CN795"/>
      <c r="CO795"/>
    </row>
    <row r="796" spans="81:93" ht="15" customHeight="1">
      <c r="CC796"/>
      <c r="CD796"/>
      <c r="CE796"/>
      <c r="CF796"/>
      <c r="CG796"/>
      <c r="CH796"/>
      <c r="CI796"/>
      <c r="CJ796"/>
      <c r="CK796"/>
      <c r="CL796"/>
      <c r="CM796"/>
      <c r="CN796"/>
      <c r="CO796"/>
    </row>
    <row r="797" spans="81:93" ht="15" customHeight="1">
      <c r="CC797"/>
      <c r="CD797"/>
      <c r="CE797"/>
      <c r="CF797"/>
      <c r="CG797"/>
      <c r="CH797"/>
      <c r="CI797"/>
      <c r="CJ797"/>
      <c r="CK797"/>
      <c r="CL797"/>
      <c r="CM797"/>
      <c r="CN797"/>
      <c r="CO797"/>
    </row>
    <row r="798" spans="81:93" ht="15" customHeight="1">
      <c r="CC798"/>
      <c r="CD798"/>
      <c r="CE798"/>
      <c r="CF798"/>
      <c r="CG798"/>
      <c r="CH798"/>
      <c r="CI798"/>
      <c r="CJ798"/>
      <c r="CK798"/>
      <c r="CL798"/>
      <c r="CM798"/>
      <c r="CN798"/>
      <c r="CO798"/>
    </row>
    <row r="799" spans="81:93" ht="15" customHeight="1">
      <c r="CC799"/>
      <c r="CD799"/>
      <c r="CE799"/>
      <c r="CF799"/>
      <c r="CG799"/>
      <c r="CH799"/>
      <c r="CI799"/>
      <c r="CJ799"/>
      <c r="CK799"/>
      <c r="CL799"/>
      <c r="CM799"/>
      <c r="CN799"/>
      <c r="CO799"/>
    </row>
    <row r="800" spans="81:93" ht="15" customHeight="1">
      <c r="CC800"/>
      <c r="CD800"/>
      <c r="CE800"/>
      <c r="CF800"/>
      <c r="CG800"/>
      <c r="CH800"/>
      <c r="CI800"/>
      <c r="CJ800"/>
      <c r="CK800"/>
      <c r="CL800"/>
      <c r="CM800"/>
      <c r="CN800"/>
      <c r="CO800"/>
    </row>
    <row r="801" spans="81:93" ht="15" customHeight="1">
      <c r="CC801"/>
      <c r="CD801"/>
      <c r="CE801"/>
      <c r="CF801"/>
      <c r="CG801"/>
      <c r="CH801"/>
      <c r="CI801"/>
      <c r="CJ801"/>
      <c r="CK801"/>
      <c r="CL801"/>
      <c r="CM801"/>
      <c r="CN801"/>
      <c r="CO801"/>
    </row>
    <row r="802" spans="81:93" ht="15" customHeight="1">
      <c r="CC802"/>
      <c r="CD802"/>
      <c r="CE802"/>
      <c r="CF802"/>
      <c r="CG802"/>
      <c r="CH802"/>
      <c r="CI802"/>
      <c r="CJ802"/>
      <c r="CK802"/>
      <c r="CL802"/>
      <c r="CM802"/>
      <c r="CN802"/>
      <c r="CO802"/>
    </row>
    <row r="803" spans="81:93" ht="15" customHeight="1">
      <c r="CC803"/>
      <c r="CD803"/>
      <c r="CE803"/>
      <c r="CF803"/>
      <c r="CG803"/>
      <c r="CH803"/>
      <c r="CI803"/>
      <c r="CJ803"/>
      <c r="CK803"/>
      <c r="CL803"/>
      <c r="CM803"/>
      <c r="CN803"/>
      <c r="CO803"/>
    </row>
    <row r="804" spans="81:93" ht="15" customHeight="1">
      <c r="CC804"/>
      <c r="CD804"/>
      <c r="CE804"/>
      <c r="CF804"/>
      <c r="CG804"/>
      <c r="CH804"/>
      <c r="CI804"/>
      <c r="CJ804"/>
      <c r="CK804"/>
      <c r="CL804"/>
      <c r="CM804"/>
      <c r="CN804"/>
      <c r="CO804"/>
    </row>
    <row r="805" spans="81:93" ht="15" customHeight="1">
      <c r="CC805"/>
      <c r="CD805"/>
      <c r="CE805"/>
      <c r="CF805"/>
      <c r="CG805"/>
      <c r="CH805"/>
      <c r="CI805"/>
      <c r="CJ805"/>
      <c r="CK805"/>
      <c r="CL805"/>
      <c r="CM805"/>
      <c r="CN805"/>
      <c r="CO805"/>
    </row>
    <row r="806" spans="81:93" ht="15" customHeight="1">
      <c r="CC806"/>
      <c r="CD806"/>
      <c r="CE806"/>
      <c r="CF806"/>
      <c r="CG806"/>
      <c r="CH806"/>
      <c r="CI806"/>
      <c r="CJ806"/>
      <c r="CK806"/>
      <c r="CL806"/>
      <c r="CM806"/>
      <c r="CN806"/>
      <c r="CO806"/>
    </row>
    <row r="807" spans="81:93" ht="15" customHeight="1">
      <c r="CC807"/>
      <c r="CD807"/>
      <c r="CE807"/>
      <c r="CF807"/>
      <c r="CG807"/>
      <c r="CH807"/>
      <c r="CI807"/>
      <c r="CJ807"/>
      <c r="CK807"/>
      <c r="CL807"/>
      <c r="CM807"/>
      <c r="CN807"/>
      <c r="CO807"/>
    </row>
    <row r="808" spans="81:93" ht="15" customHeight="1">
      <c r="CC808"/>
      <c r="CD808"/>
      <c r="CE808"/>
      <c r="CF808"/>
      <c r="CG808"/>
      <c r="CH808"/>
      <c r="CI808"/>
      <c r="CJ808"/>
      <c r="CK808"/>
      <c r="CL808"/>
      <c r="CM808"/>
      <c r="CN808"/>
      <c r="CO808"/>
    </row>
    <row r="809" spans="81:93" ht="15" customHeight="1">
      <c r="CC809"/>
      <c r="CD809"/>
      <c r="CE809"/>
      <c r="CF809"/>
      <c r="CG809"/>
      <c r="CH809"/>
      <c r="CI809"/>
      <c r="CJ809"/>
      <c r="CK809"/>
      <c r="CL809"/>
      <c r="CM809"/>
      <c r="CN809"/>
      <c r="CO809"/>
    </row>
    <row r="810" spans="81:93" ht="15" customHeight="1">
      <c r="CC810"/>
      <c r="CD810"/>
      <c r="CE810"/>
      <c r="CF810"/>
      <c r="CG810"/>
      <c r="CH810"/>
      <c r="CI810"/>
      <c r="CJ810"/>
      <c r="CK810"/>
      <c r="CL810"/>
      <c r="CM810"/>
      <c r="CN810"/>
      <c r="CO810"/>
    </row>
    <row r="811" spans="81:93" ht="15" customHeight="1">
      <c r="CC811"/>
      <c r="CD811"/>
      <c r="CE811"/>
      <c r="CF811"/>
      <c r="CG811"/>
      <c r="CH811"/>
      <c r="CI811"/>
      <c r="CJ811"/>
      <c r="CK811"/>
      <c r="CL811"/>
      <c r="CM811"/>
      <c r="CN811"/>
      <c r="CO811"/>
    </row>
    <row r="812" spans="81:93" ht="15" customHeight="1">
      <c r="CC812"/>
      <c r="CD812"/>
      <c r="CE812"/>
      <c r="CF812"/>
      <c r="CG812"/>
      <c r="CH812"/>
      <c r="CI812"/>
      <c r="CJ812"/>
      <c r="CK812"/>
      <c r="CL812"/>
      <c r="CM812"/>
      <c r="CN812"/>
      <c r="CO812"/>
    </row>
    <row r="813" spans="81:93" ht="15" customHeight="1">
      <c r="CC813"/>
      <c r="CD813"/>
      <c r="CE813"/>
      <c r="CF813"/>
      <c r="CG813"/>
      <c r="CH813"/>
      <c r="CI813"/>
      <c r="CJ813"/>
      <c r="CK813"/>
      <c r="CL813"/>
      <c r="CM813"/>
      <c r="CN813"/>
      <c r="CO813"/>
    </row>
    <row r="814" spans="81:93" ht="15" customHeight="1">
      <c r="CC814"/>
      <c r="CD814"/>
      <c r="CE814"/>
      <c r="CF814"/>
      <c r="CG814"/>
      <c r="CH814"/>
      <c r="CI814"/>
      <c r="CJ814"/>
      <c r="CK814"/>
      <c r="CL814"/>
      <c r="CM814"/>
      <c r="CN814"/>
      <c r="CO814"/>
    </row>
    <row r="815" spans="81:93" ht="15" customHeight="1">
      <c r="CC815"/>
      <c r="CD815"/>
      <c r="CE815"/>
      <c r="CF815"/>
      <c r="CG815"/>
      <c r="CH815"/>
      <c r="CI815"/>
      <c r="CJ815"/>
      <c r="CK815"/>
      <c r="CL815"/>
      <c r="CM815"/>
      <c r="CN815"/>
      <c r="CO815"/>
    </row>
    <row r="816" spans="81:93" ht="15" customHeight="1">
      <c r="CC816"/>
      <c r="CD816"/>
      <c r="CE816"/>
      <c r="CF816"/>
      <c r="CG816"/>
      <c r="CH816"/>
      <c r="CI816"/>
      <c r="CJ816"/>
      <c r="CK816"/>
      <c r="CL816"/>
      <c r="CM816"/>
      <c r="CN816"/>
      <c r="CO816"/>
    </row>
    <row r="817" spans="81:93" ht="15" customHeight="1">
      <c r="CC817"/>
      <c r="CD817"/>
      <c r="CE817"/>
      <c r="CF817"/>
      <c r="CG817"/>
      <c r="CH817"/>
      <c r="CI817"/>
      <c r="CJ817"/>
      <c r="CK817"/>
      <c r="CL817"/>
      <c r="CM817"/>
      <c r="CN817"/>
      <c r="CO817"/>
    </row>
    <row r="818" spans="81:93" ht="15" customHeight="1">
      <c r="CC818"/>
      <c r="CD818"/>
      <c r="CE818"/>
      <c r="CF818"/>
      <c r="CG818"/>
      <c r="CH818"/>
      <c r="CI818"/>
      <c r="CJ818"/>
      <c r="CK818"/>
      <c r="CL818"/>
      <c r="CM818"/>
      <c r="CN818"/>
      <c r="CO818"/>
    </row>
    <row r="819" spans="81:93" ht="15" customHeight="1">
      <c r="CC819"/>
      <c r="CD819"/>
      <c r="CE819"/>
      <c r="CF819"/>
      <c r="CG819"/>
      <c r="CH819"/>
      <c r="CI819"/>
      <c r="CJ819"/>
      <c r="CK819"/>
      <c r="CL819"/>
      <c r="CM819"/>
      <c r="CN819"/>
      <c r="CO819"/>
    </row>
    <row r="820" spans="81:93" ht="15" customHeight="1">
      <c r="CC820"/>
      <c r="CD820"/>
      <c r="CE820"/>
      <c r="CF820"/>
      <c r="CG820"/>
      <c r="CH820"/>
      <c r="CI820"/>
      <c r="CJ820"/>
      <c r="CK820"/>
      <c r="CL820"/>
      <c r="CM820"/>
      <c r="CN820"/>
      <c r="CO820"/>
    </row>
    <row r="821" spans="81:93" ht="15" customHeight="1">
      <c r="CC821"/>
      <c r="CD821"/>
      <c r="CE821"/>
      <c r="CF821"/>
      <c r="CG821"/>
      <c r="CH821"/>
      <c r="CI821"/>
      <c r="CJ821"/>
      <c r="CK821"/>
      <c r="CL821"/>
      <c r="CM821"/>
      <c r="CN821"/>
      <c r="CO821"/>
    </row>
    <row r="822" spans="81:93" ht="15" customHeight="1">
      <c r="CC822"/>
      <c r="CD822"/>
      <c r="CE822"/>
      <c r="CF822"/>
      <c r="CG822"/>
      <c r="CH822"/>
      <c r="CI822"/>
      <c r="CJ822"/>
      <c r="CK822"/>
      <c r="CL822"/>
      <c r="CM822"/>
      <c r="CN822"/>
      <c r="CO822"/>
    </row>
    <row r="823" spans="81:93" ht="15" customHeight="1">
      <c r="CC823"/>
      <c r="CD823"/>
      <c r="CE823"/>
      <c r="CF823"/>
      <c r="CG823"/>
      <c r="CH823"/>
      <c r="CI823"/>
      <c r="CJ823"/>
      <c r="CK823"/>
      <c r="CL823"/>
      <c r="CM823"/>
      <c r="CN823"/>
      <c r="CO823"/>
    </row>
    <row r="824" spans="81:93" ht="15" customHeight="1">
      <c r="CC824"/>
      <c r="CD824"/>
      <c r="CE824"/>
      <c r="CF824"/>
      <c r="CG824"/>
      <c r="CH824"/>
      <c r="CI824"/>
      <c r="CJ824"/>
      <c r="CK824"/>
      <c r="CL824"/>
      <c r="CM824"/>
      <c r="CN824"/>
      <c r="CO824"/>
    </row>
    <row r="825" spans="81:93" ht="15" customHeight="1">
      <c r="CC825"/>
      <c r="CD825"/>
      <c r="CE825"/>
      <c r="CF825"/>
      <c r="CG825"/>
      <c r="CH825"/>
      <c r="CI825"/>
      <c r="CJ825"/>
      <c r="CK825"/>
      <c r="CL825"/>
      <c r="CM825"/>
      <c r="CN825"/>
      <c r="CO825"/>
    </row>
    <row r="826" spans="81:93" ht="15" customHeight="1">
      <c r="CC826"/>
      <c r="CD826"/>
      <c r="CE826"/>
      <c r="CF826"/>
      <c r="CG826"/>
      <c r="CH826"/>
      <c r="CI826"/>
      <c r="CJ826"/>
      <c r="CK826"/>
      <c r="CL826"/>
      <c r="CM826"/>
      <c r="CN826"/>
      <c r="CO826"/>
    </row>
    <row r="827" spans="81:93" ht="15" customHeight="1">
      <c r="CC827"/>
      <c r="CD827"/>
      <c r="CE827"/>
      <c r="CF827"/>
      <c r="CG827"/>
      <c r="CH827"/>
      <c r="CI827"/>
      <c r="CJ827"/>
      <c r="CK827"/>
      <c r="CL827"/>
      <c r="CM827"/>
      <c r="CN827"/>
      <c r="CO827"/>
    </row>
    <row r="828" spans="81:93" ht="15" customHeight="1">
      <c r="CC828"/>
      <c r="CD828"/>
      <c r="CE828"/>
      <c r="CF828"/>
      <c r="CG828"/>
      <c r="CH828"/>
      <c r="CI828"/>
      <c r="CJ828"/>
      <c r="CK828"/>
      <c r="CL828"/>
      <c r="CM828"/>
      <c r="CN828"/>
      <c r="CO828"/>
    </row>
    <row r="829" spans="81:93" ht="15" customHeight="1">
      <c r="CC829"/>
      <c r="CD829"/>
      <c r="CE829"/>
      <c r="CF829"/>
      <c r="CG829"/>
      <c r="CH829"/>
      <c r="CI829"/>
      <c r="CJ829"/>
      <c r="CK829"/>
      <c r="CL829"/>
      <c r="CM829"/>
      <c r="CN829"/>
      <c r="CO829"/>
    </row>
    <row r="830" spans="81:93" ht="15" customHeight="1">
      <c r="CC830"/>
      <c r="CD830"/>
      <c r="CE830"/>
      <c r="CF830"/>
      <c r="CG830"/>
      <c r="CH830"/>
      <c r="CI830"/>
      <c r="CJ830"/>
      <c r="CK830"/>
      <c r="CL830"/>
      <c r="CM830"/>
      <c r="CN830"/>
      <c r="CO830"/>
    </row>
    <row r="831" spans="81:93" ht="15" customHeight="1">
      <c r="CC831"/>
      <c r="CD831"/>
      <c r="CE831"/>
      <c r="CF831"/>
      <c r="CG831"/>
      <c r="CH831"/>
      <c r="CI831"/>
      <c r="CJ831"/>
      <c r="CK831"/>
      <c r="CL831"/>
      <c r="CM831"/>
      <c r="CN831"/>
      <c r="CO831"/>
    </row>
    <row r="832" spans="81:93" ht="15" customHeight="1">
      <c r="CC832"/>
      <c r="CD832"/>
      <c r="CE832"/>
      <c r="CF832"/>
      <c r="CG832"/>
      <c r="CH832"/>
      <c r="CI832"/>
      <c r="CJ832"/>
      <c r="CK832"/>
      <c r="CL832"/>
      <c r="CM832"/>
      <c r="CN832"/>
      <c r="CO832"/>
    </row>
    <row r="833" spans="81:93" ht="15" customHeight="1">
      <c r="CC833"/>
      <c r="CD833"/>
      <c r="CE833"/>
      <c r="CF833"/>
      <c r="CG833"/>
      <c r="CH833"/>
      <c r="CI833"/>
      <c r="CJ833"/>
      <c r="CK833"/>
      <c r="CL833"/>
      <c r="CM833"/>
      <c r="CN833"/>
      <c r="CO833"/>
    </row>
    <row r="834" spans="2:93" ht="15" customHeight="1">
      <c r="B834" s="34"/>
      <c r="CC834"/>
      <c r="CD834"/>
      <c r="CE834"/>
      <c r="CF834"/>
      <c r="CG834"/>
      <c r="CH834"/>
      <c r="CI834"/>
      <c r="CJ834"/>
      <c r="CK834"/>
      <c r="CL834"/>
      <c r="CM834"/>
      <c r="CN834"/>
      <c r="CO834"/>
    </row>
    <row r="835" spans="81:93" ht="15" customHeight="1">
      <c r="CC835"/>
      <c r="CD835"/>
      <c r="CE835"/>
      <c r="CF835"/>
      <c r="CG835"/>
      <c r="CH835"/>
      <c r="CI835"/>
      <c r="CJ835"/>
      <c r="CK835"/>
      <c r="CL835"/>
      <c r="CM835"/>
      <c r="CN835"/>
      <c r="CO835"/>
    </row>
    <row r="836" spans="81:93" ht="15" customHeight="1">
      <c r="CC836"/>
      <c r="CD836"/>
      <c r="CE836"/>
      <c r="CF836"/>
      <c r="CG836"/>
      <c r="CH836"/>
      <c r="CI836"/>
      <c r="CJ836"/>
      <c r="CK836"/>
      <c r="CL836"/>
      <c r="CM836"/>
      <c r="CN836"/>
      <c r="CO836"/>
    </row>
    <row r="837" spans="81:93" ht="15" customHeight="1">
      <c r="CC837"/>
      <c r="CD837"/>
      <c r="CE837"/>
      <c r="CF837"/>
      <c r="CG837"/>
      <c r="CH837"/>
      <c r="CI837"/>
      <c r="CJ837"/>
      <c r="CK837"/>
      <c r="CL837"/>
      <c r="CM837"/>
      <c r="CN837"/>
      <c r="CO837"/>
    </row>
    <row r="838" spans="81:93" ht="15" customHeight="1">
      <c r="CC838"/>
      <c r="CD838"/>
      <c r="CE838"/>
      <c r="CF838"/>
      <c r="CG838"/>
      <c r="CH838"/>
      <c r="CI838"/>
      <c r="CJ838"/>
      <c r="CK838"/>
      <c r="CL838"/>
      <c r="CM838"/>
      <c r="CN838"/>
      <c r="CO838"/>
    </row>
    <row r="839" spans="81:93" ht="15" customHeight="1">
      <c r="CC839"/>
      <c r="CD839"/>
      <c r="CE839"/>
      <c r="CF839"/>
      <c r="CG839"/>
      <c r="CH839"/>
      <c r="CI839"/>
      <c r="CJ839"/>
      <c r="CK839"/>
      <c r="CL839"/>
      <c r="CM839"/>
      <c r="CN839"/>
      <c r="CO839"/>
    </row>
    <row r="840" spans="81:93" ht="15" customHeight="1">
      <c r="CC840"/>
      <c r="CD840"/>
      <c r="CE840"/>
      <c r="CF840"/>
      <c r="CG840"/>
      <c r="CH840"/>
      <c r="CI840"/>
      <c r="CJ840"/>
      <c r="CK840"/>
      <c r="CL840"/>
      <c r="CM840"/>
      <c r="CN840"/>
      <c r="CO840"/>
    </row>
    <row r="841" spans="81:93" ht="15" customHeight="1">
      <c r="CC841"/>
      <c r="CD841"/>
      <c r="CE841"/>
      <c r="CF841"/>
      <c r="CG841"/>
      <c r="CH841"/>
      <c r="CI841"/>
      <c r="CJ841"/>
      <c r="CK841"/>
      <c r="CL841"/>
      <c r="CM841"/>
      <c r="CN841"/>
      <c r="CO841"/>
    </row>
    <row r="842" spans="81:93" ht="15" customHeight="1">
      <c r="CC842"/>
      <c r="CD842"/>
      <c r="CE842"/>
      <c r="CF842"/>
      <c r="CG842"/>
      <c r="CH842"/>
      <c r="CI842"/>
      <c r="CJ842"/>
      <c r="CK842"/>
      <c r="CL842"/>
      <c r="CM842"/>
      <c r="CN842"/>
      <c r="CO842"/>
    </row>
    <row r="843" spans="81:93" ht="15" customHeight="1">
      <c r="CC843"/>
      <c r="CD843"/>
      <c r="CE843"/>
      <c r="CF843"/>
      <c r="CG843"/>
      <c r="CH843"/>
      <c r="CI843"/>
      <c r="CJ843"/>
      <c r="CK843"/>
      <c r="CL843"/>
      <c r="CM843"/>
      <c r="CN843"/>
      <c r="CO843"/>
    </row>
    <row r="844" spans="81:93" ht="15" customHeight="1">
      <c r="CC844"/>
      <c r="CD844"/>
      <c r="CE844"/>
      <c r="CF844"/>
      <c r="CG844"/>
      <c r="CH844"/>
      <c r="CI844"/>
      <c r="CJ844"/>
      <c r="CK844"/>
      <c r="CL844"/>
      <c r="CM844"/>
      <c r="CN844"/>
      <c r="CO844"/>
    </row>
    <row r="845" spans="81:93" ht="15" customHeight="1">
      <c r="CC845"/>
      <c r="CD845"/>
      <c r="CE845"/>
      <c r="CF845"/>
      <c r="CG845"/>
      <c r="CH845"/>
      <c r="CI845"/>
      <c r="CJ845"/>
      <c r="CK845"/>
      <c r="CL845"/>
      <c r="CM845"/>
      <c r="CN845"/>
      <c r="CO845"/>
    </row>
    <row r="846" spans="81:93" ht="15" customHeight="1">
      <c r="CC846"/>
      <c r="CD846"/>
      <c r="CE846"/>
      <c r="CF846"/>
      <c r="CG846"/>
      <c r="CH846"/>
      <c r="CI846"/>
      <c r="CJ846"/>
      <c r="CK846"/>
      <c r="CL846"/>
      <c r="CM846"/>
      <c r="CN846"/>
      <c r="CO846"/>
    </row>
    <row r="847" spans="81:93" ht="15" customHeight="1">
      <c r="CC847"/>
      <c r="CD847"/>
      <c r="CE847"/>
      <c r="CF847"/>
      <c r="CG847"/>
      <c r="CH847"/>
      <c r="CI847"/>
      <c r="CJ847"/>
      <c r="CK847"/>
      <c r="CL847"/>
      <c r="CM847"/>
      <c r="CN847"/>
      <c r="CO847"/>
    </row>
    <row r="848" spans="81:93" ht="15" customHeight="1">
      <c r="CC848"/>
      <c r="CD848"/>
      <c r="CE848"/>
      <c r="CF848"/>
      <c r="CG848"/>
      <c r="CH848"/>
      <c r="CI848"/>
      <c r="CJ848"/>
      <c r="CK848"/>
      <c r="CL848"/>
      <c r="CM848"/>
      <c r="CN848"/>
      <c r="CO848"/>
    </row>
    <row r="849" spans="81:93" ht="15" customHeight="1">
      <c r="CC849"/>
      <c r="CD849"/>
      <c r="CE849"/>
      <c r="CF849"/>
      <c r="CG849"/>
      <c r="CH849"/>
      <c r="CI849"/>
      <c r="CJ849"/>
      <c r="CK849"/>
      <c r="CL849"/>
      <c r="CM849"/>
      <c r="CN849"/>
      <c r="CO849"/>
    </row>
    <row r="850" spans="81:93" ht="15" customHeight="1">
      <c r="CC850"/>
      <c r="CD850"/>
      <c r="CE850"/>
      <c r="CF850"/>
      <c r="CG850"/>
      <c r="CH850"/>
      <c r="CI850"/>
      <c r="CJ850"/>
      <c r="CK850"/>
      <c r="CL850"/>
      <c r="CM850"/>
      <c r="CN850"/>
      <c r="CO850"/>
    </row>
    <row r="851" spans="81:93" ht="15" customHeight="1">
      <c r="CC851"/>
      <c r="CD851"/>
      <c r="CE851"/>
      <c r="CF851"/>
      <c r="CG851"/>
      <c r="CH851"/>
      <c r="CI851"/>
      <c r="CJ851"/>
      <c r="CK851"/>
      <c r="CL851"/>
      <c r="CM851"/>
      <c r="CN851"/>
      <c r="CO851"/>
    </row>
    <row r="852" spans="81:93" ht="15" customHeight="1">
      <c r="CC852"/>
      <c r="CD852"/>
      <c r="CE852"/>
      <c r="CF852"/>
      <c r="CG852"/>
      <c r="CH852"/>
      <c r="CI852"/>
      <c r="CJ852"/>
      <c r="CK852"/>
      <c r="CL852"/>
      <c r="CM852"/>
      <c r="CN852"/>
      <c r="CO852"/>
    </row>
    <row r="853" spans="81:93" ht="15" customHeight="1">
      <c r="CC853"/>
      <c r="CD853"/>
      <c r="CE853"/>
      <c r="CF853"/>
      <c r="CG853"/>
      <c r="CH853"/>
      <c r="CI853"/>
      <c r="CJ853"/>
      <c r="CK853"/>
      <c r="CL853"/>
      <c r="CM853"/>
      <c r="CN853"/>
      <c r="CO853"/>
    </row>
    <row r="854" spans="81:93" ht="15" customHeight="1">
      <c r="CC854"/>
      <c r="CD854"/>
      <c r="CE854"/>
      <c r="CF854"/>
      <c r="CG854"/>
      <c r="CH854"/>
      <c r="CI854"/>
      <c r="CJ854"/>
      <c r="CK854"/>
      <c r="CL854"/>
      <c r="CM854"/>
      <c r="CN854"/>
      <c r="CO854"/>
    </row>
    <row r="855" spans="81:93" ht="15" customHeight="1">
      <c r="CC855"/>
      <c r="CD855"/>
      <c r="CE855"/>
      <c r="CF855"/>
      <c r="CG855"/>
      <c r="CH855"/>
      <c r="CI855"/>
      <c r="CJ855"/>
      <c r="CK855"/>
      <c r="CL855"/>
      <c r="CM855"/>
      <c r="CN855"/>
      <c r="CO855"/>
    </row>
    <row r="856" spans="81:93" ht="15" customHeight="1">
      <c r="CC856"/>
      <c r="CD856"/>
      <c r="CE856"/>
      <c r="CF856"/>
      <c r="CG856"/>
      <c r="CH856"/>
      <c r="CI856"/>
      <c r="CJ856"/>
      <c r="CK856"/>
      <c r="CL856"/>
      <c r="CM856"/>
      <c r="CN856"/>
      <c r="CO856"/>
    </row>
    <row r="857" spans="81:93" ht="15" customHeight="1">
      <c r="CC857"/>
      <c r="CD857"/>
      <c r="CE857"/>
      <c r="CF857"/>
      <c r="CG857"/>
      <c r="CH857"/>
      <c r="CI857"/>
      <c r="CJ857"/>
      <c r="CK857"/>
      <c r="CL857"/>
      <c r="CM857"/>
      <c r="CN857"/>
      <c r="CO857"/>
    </row>
    <row r="858" spans="81:93" ht="15" customHeight="1">
      <c r="CC858"/>
      <c r="CD858"/>
      <c r="CE858"/>
      <c r="CF858"/>
      <c r="CG858"/>
      <c r="CH858"/>
      <c r="CI858"/>
      <c r="CJ858"/>
      <c r="CK858"/>
      <c r="CL858"/>
      <c r="CM858"/>
      <c r="CN858"/>
      <c r="CO858"/>
    </row>
    <row r="859" spans="81:93" ht="15" customHeight="1">
      <c r="CC859"/>
      <c r="CD859"/>
      <c r="CE859"/>
      <c r="CF859"/>
      <c r="CG859"/>
      <c r="CH859"/>
      <c r="CI859"/>
      <c r="CJ859"/>
      <c r="CK859"/>
      <c r="CL859"/>
      <c r="CM859"/>
      <c r="CN859"/>
      <c r="CO859"/>
    </row>
    <row r="860" spans="81:93" ht="15" customHeight="1">
      <c r="CC860"/>
      <c r="CD860"/>
      <c r="CE860"/>
      <c r="CF860"/>
      <c r="CG860"/>
      <c r="CH860"/>
      <c r="CI860"/>
      <c r="CJ860"/>
      <c r="CK860"/>
      <c r="CL860"/>
      <c r="CM860"/>
      <c r="CN860"/>
      <c r="CO860"/>
    </row>
    <row r="861" spans="81:93" ht="15" customHeight="1">
      <c r="CC861"/>
      <c r="CD861"/>
      <c r="CE861"/>
      <c r="CF861"/>
      <c r="CG861"/>
      <c r="CH861"/>
      <c r="CI861"/>
      <c r="CJ861"/>
      <c r="CK861"/>
      <c r="CL861"/>
      <c r="CM861"/>
      <c r="CN861"/>
      <c r="CO861"/>
    </row>
    <row r="862" spans="81:93" ht="15" customHeight="1">
      <c r="CC862"/>
      <c r="CD862"/>
      <c r="CE862"/>
      <c r="CF862"/>
      <c r="CG862"/>
      <c r="CH862"/>
      <c r="CI862"/>
      <c r="CJ862"/>
      <c r="CK862"/>
      <c r="CL862"/>
      <c r="CM862"/>
      <c r="CN862"/>
      <c r="CO862"/>
    </row>
    <row r="863" spans="81:93" ht="15" customHeight="1">
      <c r="CC863"/>
      <c r="CD863"/>
      <c r="CE863"/>
      <c r="CF863"/>
      <c r="CG863"/>
      <c r="CH863"/>
      <c r="CI863"/>
      <c r="CJ863"/>
      <c r="CK863"/>
      <c r="CL863"/>
      <c r="CM863"/>
      <c r="CN863"/>
      <c r="CO863"/>
    </row>
    <row r="864" spans="81:93" ht="15" customHeight="1">
      <c r="CC864"/>
      <c r="CD864"/>
      <c r="CE864"/>
      <c r="CF864"/>
      <c r="CG864"/>
      <c r="CH864"/>
      <c r="CI864"/>
      <c r="CJ864"/>
      <c r="CK864"/>
      <c r="CL864"/>
      <c r="CM864"/>
      <c r="CN864"/>
      <c r="CO864"/>
    </row>
    <row r="865" spans="81:93" ht="15" customHeight="1">
      <c r="CC865"/>
      <c r="CD865"/>
      <c r="CE865"/>
      <c r="CF865"/>
      <c r="CG865"/>
      <c r="CH865"/>
      <c r="CI865"/>
      <c r="CJ865"/>
      <c r="CK865"/>
      <c r="CL865"/>
      <c r="CM865"/>
      <c r="CN865"/>
      <c r="CO865"/>
    </row>
    <row r="866" spans="81:93" ht="15" customHeight="1">
      <c r="CC866"/>
      <c r="CD866"/>
      <c r="CE866"/>
      <c r="CF866"/>
      <c r="CG866"/>
      <c r="CH866"/>
      <c r="CI866"/>
      <c r="CJ866"/>
      <c r="CK866"/>
      <c r="CL866"/>
      <c r="CM866"/>
      <c r="CN866"/>
      <c r="CO866"/>
    </row>
    <row r="867" spans="81:93" ht="15" customHeight="1">
      <c r="CC867"/>
      <c r="CD867"/>
      <c r="CE867"/>
      <c r="CF867"/>
      <c r="CG867"/>
      <c r="CH867"/>
      <c r="CI867"/>
      <c r="CJ867"/>
      <c r="CK867"/>
      <c r="CL867"/>
      <c r="CM867"/>
      <c r="CN867"/>
      <c r="CO867"/>
    </row>
    <row r="868" spans="81:93" ht="15" customHeight="1">
      <c r="CC868"/>
      <c r="CD868"/>
      <c r="CE868"/>
      <c r="CF868"/>
      <c r="CG868"/>
      <c r="CH868"/>
      <c r="CI868"/>
      <c r="CJ868"/>
      <c r="CK868"/>
      <c r="CL868"/>
      <c r="CM868"/>
      <c r="CN868"/>
      <c r="CO868"/>
    </row>
    <row r="869" spans="81:93" ht="15" customHeight="1">
      <c r="CC869"/>
      <c r="CD869"/>
      <c r="CE869"/>
      <c r="CF869"/>
      <c r="CG869"/>
      <c r="CH869"/>
      <c r="CI869"/>
      <c r="CJ869"/>
      <c r="CK869"/>
      <c r="CL869"/>
      <c r="CM869"/>
      <c r="CN869"/>
      <c r="CO869"/>
    </row>
    <row r="870" spans="81:93" ht="15" customHeight="1">
      <c r="CC870"/>
      <c r="CD870"/>
      <c r="CE870"/>
      <c r="CF870"/>
      <c r="CG870"/>
      <c r="CH870"/>
      <c r="CI870"/>
      <c r="CJ870"/>
      <c r="CK870"/>
      <c r="CL870"/>
      <c r="CM870"/>
      <c r="CN870"/>
      <c r="CO870"/>
    </row>
    <row r="871" spans="81:93" ht="15" customHeight="1">
      <c r="CC871"/>
      <c r="CD871"/>
      <c r="CE871"/>
      <c r="CF871"/>
      <c r="CG871"/>
      <c r="CH871"/>
      <c r="CI871"/>
      <c r="CJ871"/>
      <c r="CK871"/>
      <c r="CL871"/>
      <c r="CM871"/>
      <c r="CN871"/>
      <c r="CO871"/>
    </row>
    <row r="872" spans="81:93" ht="15" customHeight="1">
      <c r="CC872"/>
      <c r="CD872"/>
      <c r="CE872"/>
      <c r="CF872"/>
      <c r="CG872"/>
      <c r="CH872"/>
      <c r="CI872"/>
      <c r="CJ872"/>
      <c r="CK872"/>
      <c r="CL872"/>
      <c r="CM872"/>
      <c r="CN872"/>
      <c r="CO872"/>
    </row>
    <row r="873" spans="81:93" ht="15" customHeight="1">
      <c r="CC873"/>
      <c r="CD873"/>
      <c r="CE873"/>
      <c r="CF873"/>
      <c r="CG873"/>
      <c r="CH873"/>
      <c r="CI873"/>
      <c r="CJ873"/>
      <c r="CK873"/>
      <c r="CL873"/>
      <c r="CM873"/>
      <c r="CN873"/>
      <c r="CO873"/>
    </row>
    <row r="874" spans="81:93" ht="15" customHeight="1">
      <c r="CC874"/>
      <c r="CD874"/>
      <c r="CE874"/>
      <c r="CF874"/>
      <c r="CG874"/>
      <c r="CH874"/>
      <c r="CI874"/>
      <c r="CJ874"/>
      <c r="CK874"/>
      <c r="CL874"/>
      <c r="CM874"/>
      <c r="CN874"/>
      <c r="CO874"/>
    </row>
    <row r="875" spans="81:93" ht="15" customHeight="1">
      <c r="CC875"/>
      <c r="CD875"/>
      <c r="CE875"/>
      <c r="CF875"/>
      <c r="CG875"/>
      <c r="CH875"/>
      <c r="CI875"/>
      <c r="CJ875"/>
      <c r="CK875"/>
      <c r="CL875"/>
      <c r="CM875"/>
      <c r="CN875"/>
      <c r="CO875"/>
    </row>
    <row r="876" spans="81:93" ht="15" customHeight="1">
      <c r="CC876"/>
      <c r="CD876"/>
      <c r="CE876"/>
      <c r="CF876"/>
      <c r="CG876"/>
      <c r="CH876"/>
      <c r="CI876"/>
      <c r="CJ876"/>
      <c r="CK876"/>
      <c r="CL876"/>
      <c r="CM876"/>
      <c r="CN876"/>
      <c r="CO876"/>
    </row>
    <row r="877" spans="81:93" ht="15" customHeight="1">
      <c r="CC877"/>
      <c r="CD877"/>
      <c r="CE877"/>
      <c r="CF877"/>
      <c r="CG877"/>
      <c r="CH877"/>
      <c r="CI877"/>
      <c r="CJ877"/>
      <c r="CK877"/>
      <c r="CL877"/>
      <c r="CM877"/>
      <c r="CN877"/>
      <c r="CO877"/>
    </row>
    <row r="878" spans="81:93" ht="15" customHeight="1">
      <c r="CC878"/>
      <c r="CD878"/>
      <c r="CE878"/>
      <c r="CF878"/>
      <c r="CG878"/>
      <c r="CH878"/>
      <c r="CI878"/>
      <c r="CJ878"/>
      <c r="CK878"/>
      <c r="CL878"/>
      <c r="CM878"/>
      <c r="CN878"/>
      <c r="CO878"/>
    </row>
    <row r="879" spans="81:93" ht="15" customHeight="1">
      <c r="CC879"/>
      <c r="CD879"/>
      <c r="CE879"/>
      <c r="CF879"/>
      <c r="CG879"/>
      <c r="CH879"/>
      <c r="CI879"/>
      <c r="CJ879"/>
      <c r="CK879"/>
      <c r="CL879"/>
      <c r="CM879"/>
      <c r="CN879"/>
      <c r="CO879"/>
    </row>
    <row r="880" spans="81:93" ht="15" customHeight="1">
      <c r="CC880"/>
      <c r="CD880"/>
      <c r="CE880"/>
      <c r="CF880"/>
      <c r="CG880"/>
      <c r="CH880"/>
      <c r="CI880"/>
      <c r="CJ880"/>
      <c r="CK880"/>
      <c r="CL880"/>
      <c r="CM880"/>
      <c r="CN880"/>
      <c r="CO880"/>
    </row>
    <row r="881" spans="81:93" ht="15" customHeight="1">
      <c r="CC881"/>
      <c r="CD881"/>
      <c r="CE881"/>
      <c r="CF881"/>
      <c r="CG881"/>
      <c r="CH881"/>
      <c r="CI881"/>
      <c r="CJ881"/>
      <c r="CK881"/>
      <c r="CL881"/>
      <c r="CM881"/>
      <c r="CN881"/>
      <c r="CO881"/>
    </row>
    <row r="882" spans="81:93" ht="15" customHeight="1">
      <c r="CC882"/>
      <c r="CD882"/>
      <c r="CE882"/>
      <c r="CF882"/>
      <c r="CG882"/>
      <c r="CH882"/>
      <c r="CI882"/>
      <c r="CJ882"/>
      <c r="CK882"/>
      <c r="CL882"/>
      <c r="CM882"/>
      <c r="CN882"/>
      <c r="CO882"/>
    </row>
    <row r="883" spans="81:93" ht="15" customHeight="1">
      <c r="CC883"/>
      <c r="CD883"/>
      <c r="CE883"/>
      <c r="CF883"/>
      <c r="CG883"/>
      <c r="CH883"/>
      <c r="CI883"/>
      <c r="CJ883"/>
      <c r="CK883"/>
      <c r="CL883"/>
      <c r="CM883"/>
      <c r="CN883"/>
      <c r="CO883"/>
    </row>
    <row r="884" spans="81:93" ht="15" customHeight="1">
      <c r="CC884"/>
      <c r="CD884"/>
      <c r="CE884"/>
      <c r="CF884"/>
      <c r="CG884"/>
      <c r="CH884"/>
      <c r="CI884"/>
      <c r="CJ884"/>
      <c r="CK884"/>
      <c r="CL884"/>
      <c r="CM884"/>
      <c r="CN884"/>
      <c r="CO884"/>
    </row>
    <row r="885" spans="81:93" ht="15" customHeight="1">
      <c r="CC885"/>
      <c r="CD885"/>
      <c r="CE885"/>
      <c r="CF885"/>
      <c r="CG885"/>
      <c r="CH885"/>
      <c r="CI885"/>
      <c r="CJ885"/>
      <c r="CK885"/>
      <c r="CL885"/>
      <c r="CM885"/>
      <c r="CN885"/>
      <c r="CO885"/>
    </row>
    <row r="886" spans="81:93" ht="15" customHeight="1">
      <c r="CC886"/>
      <c r="CD886"/>
      <c r="CE886"/>
      <c r="CF886"/>
      <c r="CG886"/>
      <c r="CH886"/>
      <c r="CI886"/>
      <c r="CJ886"/>
      <c r="CK886"/>
      <c r="CL886"/>
      <c r="CM886"/>
      <c r="CN886"/>
      <c r="CO886"/>
    </row>
    <row r="887" spans="81:93" ht="15" customHeight="1">
      <c r="CC887"/>
      <c r="CD887"/>
      <c r="CE887"/>
      <c r="CF887"/>
      <c r="CG887"/>
      <c r="CH887"/>
      <c r="CI887"/>
      <c r="CJ887"/>
      <c r="CK887"/>
      <c r="CL887"/>
      <c r="CM887"/>
      <c r="CN887"/>
      <c r="CO887"/>
    </row>
    <row r="888" spans="81:93" ht="15" customHeight="1">
      <c r="CC888"/>
      <c r="CD888"/>
      <c r="CE888"/>
      <c r="CF888"/>
      <c r="CG888"/>
      <c r="CH888"/>
      <c r="CI888"/>
      <c r="CJ888"/>
      <c r="CK888"/>
      <c r="CL888"/>
      <c r="CM888"/>
      <c r="CN888"/>
      <c r="CO888"/>
    </row>
    <row r="889" spans="81:93" ht="15" customHeight="1">
      <c r="CC889"/>
      <c r="CD889"/>
      <c r="CE889"/>
      <c r="CF889"/>
      <c r="CG889"/>
      <c r="CH889"/>
      <c r="CI889"/>
      <c r="CJ889"/>
      <c r="CK889"/>
      <c r="CL889"/>
      <c r="CM889"/>
      <c r="CN889"/>
      <c r="CO889"/>
    </row>
    <row r="890" spans="81:93" ht="15" customHeight="1">
      <c r="CC890"/>
      <c r="CD890"/>
      <c r="CE890"/>
      <c r="CF890"/>
      <c r="CG890"/>
      <c r="CH890"/>
      <c r="CI890"/>
      <c r="CJ890"/>
      <c r="CK890"/>
      <c r="CL890"/>
      <c r="CM890"/>
      <c r="CN890"/>
      <c r="CO890"/>
    </row>
    <row r="891" spans="81:93" ht="15" customHeight="1">
      <c r="CC891"/>
      <c r="CD891"/>
      <c r="CE891"/>
      <c r="CF891"/>
      <c r="CG891"/>
      <c r="CH891"/>
      <c r="CI891"/>
      <c r="CJ891"/>
      <c r="CK891"/>
      <c r="CL891"/>
      <c r="CM891"/>
      <c r="CN891"/>
      <c r="CO891"/>
    </row>
    <row r="892" spans="81:93" ht="15" customHeight="1">
      <c r="CC892"/>
      <c r="CD892"/>
      <c r="CE892"/>
      <c r="CF892"/>
      <c r="CG892"/>
      <c r="CH892"/>
      <c r="CI892"/>
      <c r="CJ892"/>
      <c r="CK892"/>
      <c r="CL892"/>
      <c r="CM892"/>
      <c r="CN892"/>
      <c r="CO892"/>
    </row>
    <row r="893" spans="81:93" ht="15" customHeight="1">
      <c r="CC893"/>
      <c r="CD893"/>
      <c r="CE893"/>
      <c r="CF893"/>
      <c r="CG893"/>
      <c r="CH893"/>
      <c r="CI893"/>
      <c r="CJ893"/>
      <c r="CK893"/>
      <c r="CL893"/>
      <c r="CM893"/>
      <c r="CN893"/>
      <c r="CO893"/>
    </row>
    <row r="894" spans="81:93" ht="15" customHeight="1">
      <c r="CC894"/>
      <c r="CD894"/>
      <c r="CE894"/>
      <c r="CF894"/>
      <c r="CG894"/>
      <c r="CH894"/>
      <c r="CI894"/>
      <c r="CJ894"/>
      <c r="CK894"/>
      <c r="CL894"/>
      <c r="CM894"/>
      <c r="CN894"/>
      <c r="CO894"/>
    </row>
    <row r="895" spans="81:93" ht="15" customHeight="1">
      <c r="CC895"/>
      <c r="CD895"/>
      <c r="CE895"/>
      <c r="CF895"/>
      <c r="CG895"/>
      <c r="CH895"/>
      <c r="CI895"/>
      <c r="CJ895"/>
      <c r="CK895"/>
      <c r="CL895"/>
      <c r="CM895"/>
      <c r="CN895"/>
      <c r="CO895"/>
    </row>
    <row r="896" spans="81:93" ht="15" customHeight="1">
      <c r="CC896"/>
      <c r="CD896"/>
      <c r="CE896"/>
      <c r="CF896"/>
      <c r="CG896"/>
      <c r="CH896"/>
      <c r="CI896"/>
      <c r="CJ896"/>
      <c r="CK896"/>
      <c r="CL896"/>
      <c r="CM896"/>
      <c r="CN896"/>
      <c r="CO896"/>
    </row>
    <row r="897" spans="81:93" ht="15" customHeight="1">
      <c r="CC897"/>
      <c r="CD897"/>
      <c r="CE897"/>
      <c r="CF897"/>
      <c r="CG897"/>
      <c r="CH897"/>
      <c r="CI897"/>
      <c r="CJ897"/>
      <c r="CK897"/>
      <c r="CL897"/>
      <c r="CM897"/>
      <c r="CN897"/>
      <c r="CO897"/>
    </row>
    <row r="898" spans="81:93" ht="15" customHeight="1">
      <c r="CC898"/>
      <c r="CD898"/>
      <c r="CE898"/>
      <c r="CF898"/>
      <c r="CG898"/>
      <c r="CH898"/>
      <c r="CI898"/>
      <c r="CJ898"/>
      <c r="CK898"/>
      <c r="CL898"/>
      <c r="CM898"/>
      <c r="CN898"/>
      <c r="CO898"/>
    </row>
    <row r="899" spans="81:93" ht="15" customHeight="1">
      <c r="CC899"/>
      <c r="CD899"/>
      <c r="CE899"/>
      <c r="CF899"/>
      <c r="CG899"/>
      <c r="CH899"/>
      <c r="CI899"/>
      <c r="CJ899"/>
      <c r="CK899"/>
      <c r="CL899"/>
      <c r="CM899"/>
      <c r="CN899"/>
      <c r="CO899"/>
    </row>
    <row r="900" spans="81:93" ht="15" customHeight="1">
      <c r="CC900"/>
      <c r="CD900"/>
      <c r="CE900"/>
      <c r="CF900"/>
      <c r="CG900"/>
      <c r="CH900"/>
      <c r="CI900"/>
      <c r="CJ900"/>
      <c r="CK900"/>
      <c r="CL900"/>
      <c r="CM900"/>
      <c r="CN900"/>
      <c r="CO900"/>
    </row>
    <row r="901" spans="81:93" ht="15" customHeight="1">
      <c r="CC901"/>
      <c r="CD901"/>
      <c r="CE901"/>
      <c r="CF901"/>
      <c r="CG901"/>
      <c r="CH901"/>
      <c r="CI901"/>
      <c r="CJ901"/>
      <c r="CK901"/>
      <c r="CL901"/>
      <c r="CM901"/>
      <c r="CN901"/>
      <c r="CO901"/>
    </row>
    <row r="902" spans="81:93" ht="15" customHeight="1">
      <c r="CC902"/>
      <c r="CD902"/>
      <c r="CE902"/>
      <c r="CF902"/>
      <c r="CG902"/>
      <c r="CH902"/>
      <c r="CI902"/>
      <c r="CJ902"/>
      <c r="CK902"/>
      <c r="CL902"/>
      <c r="CM902"/>
      <c r="CN902"/>
      <c r="CO902"/>
    </row>
    <row r="903" spans="81:93" ht="15" customHeight="1">
      <c r="CC903"/>
      <c r="CD903"/>
      <c r="CE903"/>
      <c r="CF903"/>
      <c r="CG903"/>
      <c r="CH903"/>
      <c r="CI903"/>
      <c r="CJ903"/>
      <c r="CK903"/>
      <c r="CL903"/>
      <c r="CM903"/>
      <c r="CN903"/>
      <c r="CO903"/>
    </row>
    <row r="904" spans="81:93" ht="15" customHeight="1">
      <c r="CC904"/>
      <c r="CD904"/>
      <c r="CE904"/>
      <c r="CF904"/>
      <c r="CG904"/>
      <c r="CH904"/>
      <c r="CI904"/>
      <c r="CJ904"/>
      <c r="CK904"/>
      <c r="CL904"/>
      <c r="CM904"/>
      <c r="CN904"/>
      <c r="CO904"/>
    </row>
    <row r="905" spans="81:93" ht="15" customHeight="1">
      <c r="CC905"/>
      <c r="CD905"/>
      <c r="CE905"/>
      <c r="CF905"/>
      <c r="CG905"/>
      <c r="CH905"/>
      <c r="CI905"/>
      <c r="CJ905"/>
      <c r="CK905"/>
      <c r="CL905"/>
      <c r="CM905"/>
      <c r="CN905"/>
      <c r="CO905"/>
    </row>
    <row r="906" spans="81:93" ht="15" customHeight="1">
      <c r="CC906"/>
      <c r="CD906"/>
      <c r="CE906"/>
      <c r="CF906"/>
      <c r="CG906"/>
      <c r="CH906"/>
      <c r="CI906"/>
      <c r="CJ906"/>
      <c r="CK906"/>
      <c r="CL906"/>
      <c r="CM906"/>
      <c r="CN906"/>
      <c r="CO906"/>
    </row>
    <row r="907" spans="81:93" ht="15" customHeight="1">
      <c r="CC907"/>
      <c r="CD907"/>
      <c r="CE907"/>
      <c r="CF907"/>
      <c r="CG907"/>
      <c r="CH907"/>
      <c r="CI907"/>
      <c r="CJ907"/>
      <c r="CK907"/>
      <c r="CL907"/>
      <c r="CM907"/>
      <c r="CN907"/>
      <c r="CO907"/>
    </row>
    <row r="908" spans="81:93" ht="15" customHeight="1">
      <c r="CC908"/>
      <c r="CD908"/>
      <c r="CE908"/>
      <c r="CF908"/>
      <c r="CG908"/>
      <c r="CH908"/>
      <c r="CI908"/>
      <c r="CJ908"/>
      <c r="CK908"/>
      <c r="CL908"/>
      <c r="CM908"/>
      <c r="CN908"/>
      <c r="CO908"/>
    </row>
    <row r="909" spans="81:93" ht="15" customHeight="1">
      <c r="CC909"/>
      <c r="CD909"/>
      <c r="CE909"/>
      <c r="CF909"/>
      <c r="CG909"/>
      <c r="CH909"/>
      <c r="CI909"/>
      <c r="CJ909"/>
      <c r="CK909"/>
      <c r="CL909"/>
      <c r="CM909"/>
      <c r="CN909"/>
      <c r="CO909"/>
    </row>
    <row r="910" spans="81:93" ht="15" customHeight="1">
      <c r="CC910"/>
      <c r="CD910"/>
      <c r="CE910"/>
      <c r="CF910"/>
      <c r="CG910"/>
      <c r="CH910"/>
      <c r="CI910"/>
      <c r="CJ910"/>
      <c r="CK910"/>
      <c r="CL910"/>
      <c r="CM910"/>
      <c r="CN910"/>
      <c r="CO910"/>
    </row>
  </sheetData>
  <sheetProtection password="CC0D" sheet="1"/>
  <mergeCells count="1">
    <mergeCell ref="DM422:DN422"/>
  </mergeCells>
  <hyperlinks>
    <hyperlink ref="DN425" r:id="rId1" display="http://www.ssa.gov/planners/benefitcalculators.htm"/>
  </hyperlinks>
  <printOptions headings="1"/>
  <pageMargins left="0.75" right="0.75" top="1" bottom="1" header="0.5" footer="0.5"/>
  <pageSetup horizontalDpi="300" verticalDpi="300" orientation="portrait" scale="89" r:id="rId2"/>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Lynch</dc:creator>
  <cp:keywords/>
  <dc:description/>
  <cp:lastModifiedBy>Amber Lloyd</cp:lastModifiedBy>
  <cp:lastPrinted>2009-01-10T15:04:08Z</cp:lastPrinted>
  <dcterms:created xsi:type="dcterms:W3CDTF">1998-05-22T00:18:14Z</dcterms:created>
  <dcterms:modified xsi:type="dcterms:W3CDTF">2023-12-11T20:59:23Z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